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ddiecw3/Desktop/"/>
    </mc:Choice>
  </mc:AlternateContent>
  <xr:revisionPtr revIDLastSave="0" documentId="13_ncr:1_{ED5FBAD1-BEB8-8C47-81D4-C292C0266CE1}" xr6:coauthVersionLast="47" xr6:coauthVersionMax="47" xr10:uidLastSave="{00000000-0000-0000-0000-000000000000}"/>
  <bookViews>
    <workbookView xWindow="0" yWindow="0" windowWidth="33600" windowHeight="21000" tabRatio="865" xr2:uid="{00000000-000D-0000-FFFF-FFFF00000000}"/>
  </bookViews>
  <sheets>
    <sheet name="Book Design Estimating" sheetId="13" r:id="rId1"/>
    <sheet name="Cover Design Table" sheetId="9" r:id="rId2"/>
    <sheet name="Interior Design Table" sheetId="10" r:id="rId3"/>
    <sheet name="Designer Hourly Rates" sheetId="2" r:id="rId4"/>
    <sheet name="Production Hourly Rate" sheetId="8" r:id="rId5"/>
  </sheets>
  <definedNames>
    <definedName name="BHR_concept">'Interior Design Table'!$E$10</definedName>
    <definedName name="BHR_design">'Interior Design Table'!$E$11</definedName>
    <definedName name="Lookup_Array_Cover">'Cover Design Table'!$A$1:$N$1</definedName>
    <definedName name="Lookup_Array_interior_additionals">'Interior Design Table'!$A$9:$E$9</definedName>
    <definedName name="Lookup_Array_Page_design">'Interior Design Table'!$A$1:$V$1</definedName>
    <definedName name="Lookup_Array_Production">'Production Hourly Rate'!$A$1:$E$1</definedName>
    <definedName name="Menu_Cover_Complexity">'Cover Design Table'!$B$1:$D$1</definedName>
    <definedName name="Menu_Cover_Complexity_Add">'Cover Design Table'!$G$1:$I$1</definedName>
    <definedName name="Menu_Cover_Design">'Cover Design Table'!$A$1:$A$12</definedName>
    <definedName name="Menu_Cover_Illustration">'Cover Design Table'!$K$1:$M$1</definedName>
    <definedName name="Menu_Freelance_Rates">'Designer Hourly Rates'!$A$1:$A$12</definedName>
    <definedName name="Menu_Freelance_Rates_BHR">'Designer Hourly Rates'!$B$2:$B$12</definedName>
    <definedName name="Menu_Intellectual_Property_Rights">'Cover Design Table'!$A$16:$A$19</definedName>
    <definedName name="Menu_Interior_additionals">'Interior Design Table'!$B$9:$D$9</definedName>
    <definedName name="Menu_Interior_concept_sketches">'Interior Design Table'!$B$9:$E$9</definedName>
    <definedName name="Menu_Interior_illustration">'Interior Design Table'!$F$1:$Q$1</definedName>
    <definedName name="Menu_Interior_page_design">'Interior Design Table'!$B$1:$D$1</definedName>
    <definedName name="Menu_Interior_page_design_difficulty">'Interior Design Table'!$B$1:$D$1</definedName>
    <definedName name="Menu_Interior_page_makeup">'Interior Design Table'!$S$1:$U$1</definedName>
    <definedName name="Menu_Page_design">'Interior Design Table'!$A$2:$A$6</definedName>
    <definedName name="Menu_Production_Art">'Production Hourly Rate'!$A$2:$A$4</definedName>
    <definedName name="Menu_Production_Art_Complexity">'Production Hourly Rate'!$B$1:$E$1</definedName>
    <definedName name="Table_Array_Cover">'Cover Design Table'!$A$1:$N$12</definedName>
    <definedName name="Table_Array_Cover_Add">'Cover Design Table'!$G$1:$I$12</definedName>
    <definedName name="Table_Array_Freelance_Rates">'Designer Hourly Rates'!$A$1:$B$12</definedName>
    <definedName name="Table_Array_interior_additionals">'Interior Design Table'!$A$10:$E$11</definedName>
    <definedName name="Table_Array_Page_design">'Interior Design Table'!$A$2:$V$6</definedName>
    <definedName name="Table_Array_Production">'Production Hourly Rate'!$A$1:$E$4</definedName>
    <definedName name="Table_Array_Rights">'Cover Design Table'!$A$15:$B$19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43" i="13" l="1"/>
  <c r="G43" i="13"/>
  <c r="I41" i="13"/>
  <c r="H17" i="13"/>
  <c r="F32" i="13"/>
  <c r="G32" i="13" s="1"/>
  <c r="F31" i="13"/>
  <c r="G31" i="13" s="1"/>
  <c r="F27" i="13"/>
  <c r="H32" i="13"/>
  <c r="H31" i="13"/>
  <c r="H40" i="13"/>
  <c r="I40" i="13" s="1"/>
  <c r="H39" i="13"/>
  <c r="I39" i="13" s="1"/>
  <c r="H38" i="13"/>
  <c r="I38" i="13" s="1"/>
  <c r="H37" i="13"/>
  <c r="I37" i="13" s="1"/>
  <c r="H36" i="13"/>
  <c r="I36" i="13" s="1"/>
  <c r="H35" i="13"/>
  <c r="H34" i="13"/>
  <c r="H33" i="13"/>
  <c r="H25" i="13"/>
  <c r="H11" i="13"/>
  <c r="G34" i="13"/>
  <c r="G35" i="13"/>
  <c r="G36" i="13"/>
  <c r="G37" i="13"/>
  <c r="G38" i="13"/>
  <c r="G39" i="13"/>
  <c r="G40" i="13"/>
  <c r="G33" i="13"/>
  <c r="F25" i="13"/>
  <c r="G25" i="13" s="1"/>
  <c r="F11" i="13"/>
  <c r="G11" i="13" s="1"/>
  <c r="I11" i="13" s="1"/>
  <c r="C26" i="13"/>
  <c r="F26" i="13" s="1"/>
  <c r="G26" i="13" s="1"/>
  <c r="D5" i="13"/>
  <c r="C5" i="13"/>
  <c r="D4" i="13"/>
  <c r="C3" i="13"/>
  <c r="E4" i="13"/>
  <c r="E3" i="13"/>
  <c r="D3" i="13"/>
  <c r="H22" i="13"/>
  <c r="H20" i="13"/>
  <c r="H21" i="13"/>
  <c r="G22" i="13"/>
  <c r="G20" i="13"/>
  <c r="G21" i="13"/>
  <c r="H18" i="13"/>
  <c r="H19" i="13"/>
  <c r="G18" i="13"/>
  <c r="G19" i="13"/>
  <c r="I19" i="13" s="1"/>
  <c r="G17" i="13"/>
  <c r="F16" i="13"/>
  <c r="G16" i="13" s="1"/>
  <c r="C12" i="13"/>
  <c r="C13" i="13" s="1"/>
  <c r="D2" i="8"/>
  <c r="C3" i="8"/>
  <c r="D3" i="8"/>
  <c r="C4" i="8"/>
  <c r="D4" i="8"/>
  <c r="C2" i="8"/>
  <c r="I32" i="13" l="1"/>
  <c r="I31" i="13"/>
  <c r="H26" i="13"/>
  <c r="I26" i="13" s="1"/>
  <c r="C27" i="13"/>
  <c r="I18" i="13"/>
  <c r="I25" i="13"/>
  <c r="I33" i="13"/>
  <c r="I34" i="13"/>
  <c r="I35" i="13"/>
  <c r="I21" i="13"/>
  <c r="I22" i="13"/>
  <c r="I17" i="13"/>
  <c r="I20" i="13"/>
  <c r="C14" i="13"/>
  <c r="H13" i="13"/>
  <c r="F13" i="13"/>
  <c r="G13" i="13" s="1"/>
  <c r="I13" i="13" s="1"/>
  <c r="F12" i="13"/>
  <c r="G27" i="13" l="1"/>
  <c r="I27" i="13" s="1"/>
  <c r="H27" i="13"/>
  <c r="C28" i="13"/>
  <c r="I12" i="13"/>
  <c r="C15" i="13"/>
  <c r="H14" i="13"/>
  <c r="F14" i="13"/>
  <c r="G14" i="13" s="1"/>
  <c r="I14" i="13" s="1"/>
  <c r="C29" i="13" l="1"/>
  <c r="H28" i="13"/>
  <c r="F28" i="13"/>
  <c r="G28" i="13" s="1"/>
  <c r="F15" i="13"/>
  <c r="G15" i="13" s="1"/>
  <c r="I15" i="13" s="1"/>
  <c r="H15" i="13"/>
  <c r="I28" i="13" l="1"/>
  <c r="H29" i="13"/>
  <c r="C30" i="13"/>
  <c r="F29" i="13"/>
  <c r="G29" i="13" s="1"/>
  <c r="I29" i="13" s="1"/>
  <c r="I16" i="13"/>
  <c r="I23" i="13" s="1"/>
  <c r="F30" i="13" l="1"/>
  <c r="G30" i="13" s="1"/>
  <c r="H30" i="13"/>
  <c r="I30" i="13" l="1"/>
</calcChain>
</file>

<file path=xl/sharedStrings.xml><?xml version="1.0" encoding="utf-8"?>
<sst xmlns="http://schemas.openxmlformats.org/spreadsheetml/2006/main" count="149" uniqueCount="119">
  <si>
    <t>Freelance Rates</t>
    <phoneticPr fontId="5" type="noConversion"/>
  </si>
  <si>
    <t>Web developer: UI</t>
    <phoneticPr fontId="5" type="noConversion"/>
  </si>
  <si>
    <t>Web designer</t>
    <phoneticPr fontId="5" type="noConversion"/>
  </si>
  <si>
    <t>Web producer</t>
    <phoneticPr fontId="5" type="noConversion"/>
  </si>
  <si>
    <t>Web programmer</t>
    <phoneticPr fontId="5" type="noConversion"/>
  </si>
  <si>
    <t>Content developer</t>
    <phoneticPr fontId="5" type="noConversion"/>
  </si>
  <si>
    <t>Figures from American Institute of Graphic Arts (AIGA) and excerpted from the AIGA/Aquent Survey of Design Salaries 2003</t>
    <phoneticPr fontId="5" type="noConversion"/>
  </si>
  <si>
    <t>Production rate - complex</t>
    <phoneticPr fontId="5" type="noConversion"/>
  </si>
  <si>
    <t>Production rate - very complex</t>
    <phoneticPr fontId="5" type="noConversion"/>
  </si>
  <si>
    <t>Production rate - simple</t>
    <phoneticPr fontId="5" type="noConversion"/>
  </si>
  <si>
    <t>Client Name</t>
    <phoneticPr fontId="5" type="noConversion"/>
  </si>
  <si>
    <t>Project Title</t>
    <phoneticPr fontId="5" type="noConversion"/>
  </si>
  <si>
    <t>Description</t>
    <phoneticPr fontId="5" type="noConversion"/>
  </si>
  <si>
    <t>Book width</t>
    <phoneticPr fontId="5" type="noConversion"/>
  </si>
  <si>
    <t>Book height</t>
    <phoneticPr fontId="5" type="noConversion"/>
  </si>
  <si>
    <t>Page count</t>
    <phoneticPr fontId="5" type="noConversion"/>
  </si>
  <si>
    <t>Production rate - average</t>
    <phoneticPr fontId="5" type="noConversion"/>
  </si>
  <si>
    <t>Designer</t>
    <phoneticPr fontId="5" type="noConversion"/>
  </si>
  <si>
    <t>Senior designer</t>
    <phoneticPr fontId="5" type="noConversion"/>
  </si>
  <si>
    <t>Creative director/designer</t>
    <phoneticPr fontId="5" type="noConversion"/>
  </si>
  <si>
    <t>Art director</t>
    <phoneticPr fontId="5" type="noConversion"/>
  </si>
  <si>
    <t>Print production artists</t>
    <phoneticPr fontId="5" type="noConversion"/>
  </si>
  <si>
    <t>Print production manager</t>
    <phoneticPr fontId="5" type="noConversion"/>
  </si>
  <si>
    <t>Layout comp</t>
    <phoneticPr fontId="5" type="noConversion"/>
  </si>
  <si>
    <t>Layout Tight</t>
    <phoneticPr fontId="5" type="noConversion"/>
  </si>
  <si>
    <t>Electronic Prepress</t>
    <phoneticPr fontId="5" type="noConversion"/>
  </si>
  <si>
    <t>Item</t>
  </si>
  <si>
    <t>Type</t>
  </si>
  <si>
    <t>Num./hrs</t>
  </si>
  <si>
    <t>Difficulty</t>
  </si>
  <si>
    <t>Table values</t>
  </si>
  <si>
    <t>Hours</t>
  </si>
  <si>
    <t>BHR</t>
  </si>
  <si>
    <t>Total</t>
  </si>
  <si>
    <t>COVER</t>
  </si>
  <si>
    <t>Cover Design (one concept)</t>
  </si>
  <si>
    <t>Mass market (PB)</t>
  </si>
  <si>
    <t>Complex initial concept</t>
  </si>
  <si>
    <t>Jacket Wrap Upcharge?</t>
  </si>
  <si>
    <t>Additional Concepts</t>
  </si>
  <si>
    <t>Complex additional concept (ea)</t>
  </si>
  <si>
    <t>Cover Illustrations</t>
  </si>
  <si>
    <t>Average Illustration (ea)</t>
  </si>
  <si>
    <t>Cover Illustrations (other)</t>
  </si>
  <si>
    <t>Intelectural Property Rights</t>
  </si>
  <si>
    <t>Additional design time</t>
  </si>
  <si>
    <t>Additional design time (other)</t>
  </si>
  <si>
    <t>Additional Production art time</t>
  </si>
  <si>
    <t>Additional Production art time (other)</t>
  </si>
  <si>
    <t>Cover Total</t>
  </si>
  <si>
    <t>INTERIOR</t>
  </si>
  <si>
    <t>Page Design (four sample pgs)</t>
  </si>
  <si>
    <t>Mass market</t>
  </si>
  <si>
    <t>Average design</t>
  </si>
  <si>
    <t>Interior Illustrations</t>
  </si>
  <si>
    <t>Simple Illustration - Quarter page/spot</t>
  </si>
  <si>
    <t>Interior Illustrations (other)</t>
  </si>
  <si>
    <t>Page Makeup</t>
  </si>
  <si>
    <t>Average page makeup (ea)</t>
  </si>
  <si>
    <t>Concept sketches (per sketch)</t>
  </si>
  <si>
    <t>Design prototype (per prototype)</t>
  </si>
  <si>
    <t>Interior Total</t>
  </si>
  <si>
    <t>Total Time</t>
  </si>
  <si>
    <t>TOTAL COST</t>
  </si>
  <si>
    <t>-------Hardback Cover Design-------</t>
  </si>
  <si>
    <t>Average initial concept</t>
  </si>
  <si>
    <t>Simple initial concept</t>
  </si>
  <si>
    <t>Warp around additional (% added to fee)</t>
  </si>
  <si>
    <t>Initial Concept BHR</t>
  </si>
  <si>
    <t>Average additional concept (ea)</t>
  </si>
  <si>
    <t>Simple additional concept (ea)</t>
  </si>
  <si>
    <t>Additional Concept BHR</t>
  </si>
  <si>
    <t>Complex Illustration (ea)</t>
  </si>
  <si>
    <t>Simple Illustration (ea)</t>
  </si>
  <si>
    <t>Illustration BHR</t>
  </si>
  <si>
    <t>Mass market (HC)</t>
  </si>
  <si>
    <t>Major trade (HC)</t>
  </si>
  <si>
    <t>Minor trade (HC)</t>
  </si>
  <si>
    <t>Textbook (HC)</t>
  </si>
  <si>
    <t>Young adult (HC)</t>
  </si>
  <si>
    <t>-------Paperback Cover Design-------</t>
  </si>
  <si>
    <t>Major trade (PB)</t>
  </si>
  <si>
    <t>Minor trade (PB)</t>
  </si>
  <si>
    <t>Textbook (PB)</t>
  </si>
  <si>
    <t>Young adult (PB)</t>
  </si>
  <si>
    <t>-------Intellectual Property Rights-------</t>
  </si>
  <si>
    <t>% added to fee</t>
  </si>
  <si>
    <t>Sale of original art</t>
  </si>
  <si>
    <t>Sale of stock art</t>
  </si>
  <si>
    <t>World publication rights</t>
  </si>
  <si>
    <t>Total copyright transfer</t>
  </si>
  <si>
    <t>Complex design</t>
  </si>
  <si>
    <t>Simple design</t>
  </si>
  <si>
    <t>Complex Illustration - spread</t>
  </si>
  <si>
    <t>Average Illustration - spread</t>
  </si>
  <si>
    <t>Simple Illustration - spread</t>
  </si>
  <si>
    <t>Complex Illustration - Full page</t>
  </si>
  <si>
    <t>Average Illustration - Full page</t>
  </si>
  <si>
    <t>Simple Illustration - Full page</t>
  </si>
  <si>
    <t>Complex Illustration - Half page</t>
  </si>
  <si>
    <t>Average Illustration - Half page</t>
  </si>
  <si>
    <t>Simple Illustration - Half page</t>
  </si>
  <si>
    <t>Complex Illustration - Quarter page/spot</t>
  </si>
  <si>
    <t>Average Illustration - Quarter page/spot</t>
  </si>
  <si>
    <t>Complex page makeup (ea)</t>
  </si>
  <si>
    <t>Simple page makeup (ea)</t>
  </si>
  <si>
    <t>Major trade</t>
  </si>
  <si>
    <t>Minor trade</t>
  </si>
  <si>
    <t>Textbook</t>
  </si>
  <si>
    <t>Young adult</t>
  </si>
  <si>
    <t>-------Additionals-------</t>
  </si>
  <si>
    <t>Complex (ea)</t>
  </si>
  <si>
    <t>Average (ea)</t>
  </si>
  <si>
    <t>Simple (ea)</t>
  </si>
  <si>
    <t>Red &amp; Blue borders = Conditional Formatting of cell (explained in class)</t>
  </si>
  <si>
    <t>Creative director/designer</t>
  </si>
  <si>
    <t>Layout Tight</t>
  </si>
  <si>
    <t>Electronic Prepress</t>
  </si>
  <si>
    <t>Production rate - complex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</si>
</sst>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8" x14ac:knownFonts="1">
    <font>
      <sz val="10"/>
      <name val="Verdana"/>
    </font>
    <font>
      <b/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9" fontId="0" fillId="0" borderId="0" xfId="0" applyNumberFormat="1"/>
    <xf numFmtId="0" fontId="2" fillId="0" borderId="0" xfId="0" applyFont="1"/>
    <xf numFmtId="164" fontId="0" fillId="0" borderId="0" xfId="0" applyNumberFormat="1"/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/>
    <xf numFmtId="0" fontId="0" fillId="0" borderId="0" xfId="0" applyAlignment="1">
      <alignment wrapText="1"/>
    </xf>
    <xf numFmtId="0" fontId="1" fillId="0" borderId="1" xfId="0" applyFont="1" applyBorder="1"/>
    <xf numFmtId="0" fontId="6" fillId="0" borderId="0" xfId="0" applyFont="1"/>
    <xf numFmtId="0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0" fillId="3" borderId="1" xfId="0" applyFill="1" applyBorder="1" applyAlignment="1" applyProtection="1">
      <alignment horizontal="left"/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7" xfId="0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165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/>
    <xf numFmtId="0" fontId="0" fillId="0" borderId="9" xfId="0" applyBorder="1"/>
    <xf numFmtId="0" fontId="0" fillId="3" borderId="5" xfId="0" applyFill="1" applyBorder="1" applyProtection="1">
      <protection locked="0"/>
    </xf>
    <xf numFmtId="165" fontId="7" fillId="2" borderId="10" xfId="0" applyNumberFormat="1" applyFont="1" applyFill="1" applyBorder="1"/>
    <xf numFmtId="164" fontId="0" fillId="2" borderId="7" xfId="0" applyNumberFormat="1" applyFill="1" applyBorder="1"/>
    <xf numFmtId="0" fontId="0" fillId="2" borderId="9" xfId="0" applyFill="1" applyBorder="1"/>
    <xf numFmtId="0" fontId="0" fillId="0" borderId="11" xfId="0" applyBorder="1"/>
    <xf numFmtId="0" fontId="0" fillId="0" borderId="12" xfId="0" applyBorder="1" applyProtection="1">
      <protection locked="0"/>
    </xf>
    <xf numFmtId="164" fontId="0" fillId="4" borderId="7" xfId="0" applyNumberFormat="1" applyFill="1" applyBorder="1"/>
    <xf numFmtId="0" fontId="0" fillId="3" borderId="7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2" xfId="0" applyBorder="1"/>
    <xf numFmtId="165" fontId="1" fillId="0" borderId="10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1" fillId="2" borderId="7" xfId="0" applyNumberFormat="1" applyFont="1" applyFill="1" applyBorder="1"/>
    <xf numFmtId="0" fontId="0" fillId="0" borderId="8" xfId="0" applyBorder="1"/>
    <xf numFmtId="0" fontId="0" fillId="0" borderId="13" xfId="0" applyBorder="1"/>
    <xf numFmtId="165" fontId="1" fillId="0" borderId="10" xfId="0" applyNumberFormat="1" applyFont="1" applyBorder="1"/>
    <xf numFmtId="164" fontId="1" fillId="0" borderId="10" xfId="0" applyNumberFormat="1" applyFont="1" applyBorder="1"/>
    <xf numFmtId="164" fontId="1" fillId="0" borderId="7" xfId="0" applyNumberFormat="1" applyFont="1" applyBorder="1"/>
    <xf numFmtId="0" fontId="0" fillId="0" borderId="7" xfId="0" applyBorder="1"/>
    <xf numFmtId="165" fontId="0" fillId="0" borderId="10" xfId="0" applyNumberFormat="1" applyBorder="1"/>
    <xf numFmtId="0" fontId="0" fillId="0" borderId="14" xfId="0" applyBorder="1"/>
    <xf numFmtId="165" fontId="1" fillId="0" borderId="7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10" xfId="0" applyBorder="1"/>
    <xf numFmtId="165" fontId="1" fillId="2" borderId="10" xfId="0" applyNumberFormat="1" applyFont="1" applyFill="1" applyBorder="1"/>
    <xf numFmtId="0" fontId="1" fillId="2" borderId="7" xfId="0" applyFont="1" applyFill="1" applyBorder="1"/>
    <xf numFmtId="164" fontId="1" fillId="0" borderId="7" xfId="0" applyNumberFormat="1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2" borderId="7" xfId="0" applyFill="1" applyBorder="1"/>
    <xf numFmtId="165" fontId="0" fillId="2" borderId="7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164" fontId="1" fillId="0" borderId="7" xfId="0" applyNumberFormat="1" applyFont="1" applyBorder="1" applyAlignment="1">
      <alignment horizontal="center" wrapText="1"/>
    </xf>
    <xf numFmtId="164" fontId="1" fillId="2" borderId="7" xfId="0" applyNumberFormat="1" applyFont="1" applyFill="1" applyBorder="1" applyAlignment="1">
      <alignment horizontal="center" wrapText="1"/>
    </xf>
    <xf numFmtId="164" fontId="0" fillId="0" borderId="7" xfId="1" applyNumberFormat="1" applyFont="1" applyFill="1" applyBorder="1" applyAlignment="1">
      <alignment horizontal="center"/>
    </xf>
    <xf numFmtId="0" fontId="0" fillId="0" borderId="4" xfId="0" applyBorder="1"/>
    <xf numFmtId="0" fontId="1" fillId="0" borderId="0" xfId="0" applyFont="1"/>
    <xf numFmtId="165" fontId="0" fillId="0" borderId="7" xfId="0" applyNumberFormat="1" applyBorder="1" applyAlignment="1">
      <alignment horizontal="center"/>
    </xf>
    <xf numFmtId="0" fontId="0" fillId="5" borderId="9" xfId="0" applyFill="1" applyBorder="1" applyProtection="1">
      <protection locked="0"/>
    </xf>
    <xf numFmtId="0" fontId="0" fillId="5" borderId="6" xfId="0" applyFill="1" applyBorder="1" applyProtection="1">
      <protection locked="0"/>
    </xf>
    <xf numFmtId="165" fontId="0" fillId="6" borderId="10" xfId="0" applyNumberFormat="1" applyFill="1" applyBorder="1"/>
    <xf numFmtId="9" fontId="0" fillId="6" borderId="10" xfId="0" applyNumberFormat="1" applyFill="1" applyBorder="1"/>
    <xf numFmtId="164" fontId="0" fillId="6" borderId="10" xfId="0" applyNumberFormat="1" applyFill="1" applyBorder="1"/>
    <xf numFmtId="0" fontId="0" fillId="0" borderId="1" xfId="0" applyBorder="1" applyProtection="1">
      <protection locked="0"/>
    </xf>
    <xf numFmtId="0" fontId="0" fillId="0" borderId="15" xfId="0" applyBorder="1" applyProtection="1">
      <protection locked="0"/>
    </xf>
    <xf numFmtId="0" fontId="7" fillId="0" borderId="0" xfId="0" applyFont="1"/>
    <xf numFmtId="9" fontId="0" fillId="4" borderId="7" xfId="0" applyNumberFormat="1" applyFill="1" applyBorder="1" applyAlignment="1">
      <alignment horizontal="center"/>
    </xf>
    <xf numFmtId="164" fontId="1" fillId="4" borderId="7" xfId="0" applyNumberFormat="1" applyFont="1" applyFill="1" applyBorder="1"/>
    <xf numFmtId="0" fontId="1" fillId="2" borderId="7" xfId="0" applyFont="1" applyFill="1" applyBorder="1" applyAlignment="1">
      <alignment horizontal="center"/>
    </xf>
    <xf numFmtId="164" fontId="0" fillId="6" borderId="10" xfId="0" quotePrefix="1" applyNumberFormat="1" applyFill="1" applyBorder="1"/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164" fontId="0" fillId="0" borderId="15" xfId="0" applyNumberFormat="1" applyBorder="1" applyAlignment="1">
      <alignment horizontal="center"/>
    </xf>
    <xf numFmtId="0" fontId="4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zoomScale="180" zoomScaleNormal="180" workbookViewId="0">
      <selection activeCell="J15" sqref="J15"/>
    </sheetView>
  </sheetViews>
  <sheetFormatPr baseColWidth="10" defaultColWidth="11" defaultRowHeight="13" x14ac:dyDescent="0.15"/>
  <cols>
    <col min="1" max="1" width="12.83203125" customWidth="1"/>
    <col min="2" max="2" width="33.33203125" customWidth="1"/>
    <col min="3" max="3" width="23.33203125" bestFit="1" customWidth="1"/>
    <col min="4" max="4" width="7.33203125" bestFit="1" customWidth="1"/>
    <col min="5" max="5" width="29.1640625" customWidth="1"/>
    <col min="6" max="6" width="14.5" customWidth="1"/>
    <col min="8" max="8" width="14.1640625" customWidth="1"/>
    <col min="9" max="9" width="13" customWidth="1"/>
  </cols>
  <sheetData>
    <row r="1" spans="1:9" x14ac:dyDescent="0.15">
      <c r="A1" s="10" t="s">
        <v>10</v>
      </c>
      <c r="B1" s="14"/>
      <c r="E1" s="72" t="s">
        <v>114</v>
      </c>
    </row>
    <row r="2" spans="1:9" x14ac:dyDescent="0.15">
      <c r="A2" s="10" t="s">
        <v>11</v>
      </c>
      <c r="B2" s="14"/>
      <c r="E2" s="11"/>
      <c r="F2" s="72"/>
    </row>
    <row r="3" spans="1:9" x14ac:dyDescent="0.15">
      <c r="A3" s="10" t="s">
        <v>12</v>
      </c>
      <c r="B3" s="77"/>
      <c r="C3" t="b">
        <f>AND(ISBLANK(C11),OR(ISNUMBER(D11),NOT(ISBLANK(E11))))</f>
        <v>0</v>
      </c>
      <c r="D3" t="b">
        <f>AND(NOT(ISNUMBER(D11)),OR(NOT(ISBLANK(C11)),NOT(ISBLANK(E11))))</f>
        <v>0</v>
      </c>
      <c r="E3" s="13" t="b">
        <f>AND(ISBLANK(E11),OR(ISNUMBER(D11),NOT(ISBLANK(C11))))</f>
        <v>0</v>
      </c>
    </row>
    <row r="4" spans="1:9" x14ac:dyDescent="0.15">
      <c r="A4" s="10"/>
      <c r="B4" s="78"/>
      <c r="D4" t="b">
        <f>AND(NOT(ISNUMBER(D13)),NOT(ISBLANK(E13)))</f>
        <v>0</v>
      </c>
      <c r="E4" s="11" t="b">
        <f>AND(ISNUMBER(D13),ISBLANK(E13))</f>
        <v>1</v>
      </c>
    </row>
    <row r="5" spans="1:9" x14ac:dyDescent="0.15">
      <c r="A5" s="10"/>
      <c r="B5" s="79"/>
      <c r="C5" t="b">
        <f>AND(ISBLANK(C16),ISNUMBER(D16))</f>
        <v>0</v>
      </c>
      <c r="D5" t="b">
        <f>AND(NOT(ISNUMBER(D16)),NOT(ISBLANK(C16)))</f>
        <v>0</v>
      </c>
      <c r="E5" s="12"/>
    </row>
    <row r="6" spans="1:9" x14ac:dyDescent="0.15">
      <c r="A6" s="10" t="s">
        <v>13</v>
      </c>
      <c r="B6" s="14"/>
    </row>
    <row r="7" spans="1:9" x14ac:dyDescent="0.15">
      <c r="A7" s="10" t="s">
        <v>14</v>
      </c>
      <c r="B7" s="14"/>
    </row>
    <row r="8" spans="1:9" x14ac:dyDescent="0.15">
      <c r="A8" s="10" t="s">
        <v>15</v>
      </c>
      <c r="B8" s="14"/>
    </row>
    <row r="10" spans="1:9" s="9" customFormat="1" ht="30" customHeight="1" x14ac:dyDescent="0.15">
      <c r="A10" s="17"/>
      <c r="B10" s="18" t="s">
        <v>26</v>
      </c>
      <c r="C10" s="19" t="s">
        <v>27</v>
      </c>
      <c r="D10" s="19" t="s">
        <v>28</v>
      </c>
      <c r="E10" s="19" t="s">
        <v>29</v>
      </c>
      <c r="F10" s="20" t="s">
        <v>30</v>
      </c>
      <c r="G10" s="20" t="s">
        <v>31</v>
      </c>
      <c r="H10" s="21" t="s">
        <v>32</v>
      </c>
      <c r="I10" s="21" t="s">
        <v>33</v>
      </c>
    </row>
    <row r="11" spans="1:9" x14ac:dyDescent="0.15">
      <c r="A11" s="22" t="s">
        <v>34</v>
      </c>
      <c r="B11" s="23" t="s">
        <v>35</v>
      </c>
      <c r="C11" s="65" t="s">
        <v>83</v>
      </c>
      <c r="D11" s="24">
        <v>2</v>
      </c>
      <c r="E11" s="66" t="s">
        <v>65</v>
      </c>
      <c r="F11" s="67">
        <f>IFERROR(VLOOKUP(C11,Table_Array_Cover,MATCH(E11,Lookup_Array_Cover,0),FALSE),"")</f>
        <v>19</v>
      </c>
      <c r="G11" s="25">
        <f>IFERROR(D11*F11,"")</f>
        <v>38</v>
      </c>
      <c r="H11" s="69">
        <f>IFERROR(VLOOKUP(C11,Table_Array_Cover,6,FALSE),"")</f>
        <v>85</v>
      </c>
      <c r="I11" s="26">
        <f>IFERROR(G11*H11,0)</f>
        <v>3230</v>
      </c>
    </row>
    <row r="12" spans="1:9" x14ac:dyDescent="0.15">
      <c r="A12" s="22"/>
      <c r="B12" s="23" t="s">
        <v>38</v>
      </c>
      <c r="C12" s="27" t="str">
        <f>C11</f>
        <v>Textbook (PB)</v>
      </c>
      <c r="D12" s="16">
        <v>1</v>
      </c>
      <c r="E12" s="28"/>
      <c r="F12" s="68">
        <f>IFERROR(VLOOKUP(C12,Table_Array_Cover,5,FALSE),"")</f>
        <v>0.15</v>
      </c>
      <c r="G12" s="29"/>
      <c r="H12" s="29"/>
      <c r="I12" s="30">
        <f>I11*D12*F12</f>
        <v>484.5</v>
      </c>
    </row>
    <row r="13" spans="1:9" x14ac:dyDescent="0.15">
      <c r="A13" s="22"/>
      <c r="B13" s="23" t="s">
        <v>39</v>
      </c>
      <c r="C13" s="27" t="str">
        <f t="shared" ref="C13:C15" si="0">C12</f>
        <v>Textbook (PB)</v>
      </c>
      <c r="D13" s="31">
        <v>2</v>
      </c>
      <c r="E13" s="66"/>
      <c r="F13" s="67" t="str">
        <f>IFERROR(VLOOKUP(C13,Table_Array_Cover,MATCH(E13,Lookup_Array_Cover,0),FALSE),"")</f>
        <v/>
      </c>
      <c r="G13" s="25" t="str">
        <f>IFERROR(D13*F13,"")</f>
        <v/>
      </c>
      <c r="H13" s="69">
        <f>IFERROR(VLOOKUP(C13,Table_Array_Cover,6,FALSE),"")</f>
        <v>85</v>
      </c>
      <c r="I13" s="26">
        <f>IFERROR(G13*H13,0)</f>
        <v>0</v>
      </c>
    </row>
    <row r="14" spans="1:9" x14ac:dyDescent="0.15">
      <c r="A14" s="22"/>
      <c r="B14" s="23" t="s">
        <v>41</v>
      </c>
      <c r="C14" s="27" t="str">
        <f t="shared" si="0"/>
        <v>Textbook (PB)</v>
      </c>
      <c r="D14" s="31">
        <v>2</v>
      </c>
      <c r="E14" s="66" t="s">
        <v>73</v>
      </c>
      <c r="F14" s="67">
        <f>IFERROR(VLOOKUP(C14,Table_Array_Cover,MATCH(E14,Lookup_Array_Cover,0),FALSE),"")</f>
        <v>4.2</v>
      </c>
      <c r="G14" s="25">
        <f>IFERROR(D14*F14,"")</f>
        <v>8.4</v>
      </c>
      <c r="H14" s="69">
        <f>IFERROR(VLOOKUP(C14,Table_Array_Cover,14,FALSE),"")</f>
        <v>95</v>
      </c>
      <c r="I14" s="26">
        <f>IFERROR(G14*H14,0)</f>
        <v>798</v>
      </c>
    </row>
    <row r="15" spans="1:9" x14ac:dyDescent="0.15">
      <c r="A15" s="22"/>
      <c r="B15" s="23" t="s">
        <v>43</v>
      </c>
      <c r="C15" s="27" t="str">
        <f t="shared" si="0"/>
        <v>Textbook (PB)</v>
      </c>
      <c r="D15" s="31"/>
      <c r="E15" s="66" t="s">
        <v>42</v>
      </c>
      <c r="F15" s="67">
        <f>IFERROR(VLOOKUP(C15,Table_Array_Cover,MATCH(E15,Lookup_Array_Cover,0),FALSE),"")</f>
        <v>10</v>
      </c>
      <c r="G15" s="25">
        <f>IFERROR(D15*F15,"")</f>
        <v>0</v>
      </c>
      <c r="H15" s="69">
        <f>IFERROR(VLOOKUP(C15,Table_Array_Cover,14,FALSE),"")</f>
        <v>95</v>
      </c>
      <c r="I15" s="26">
        <f>IFERROR(G15*H15,0)</f>
        <v>0</v>
      </c>
    </row>
    <row r="16" spans="1:9" x14ac:dyDescent="0.15">
      <c r="A16" s="22"/>
      <c r="B16" s="23" t="s">
        <v>44</v>
      </c>
      <c r="C16" s="65" t="s">
        <v>89</v>
      </c>
      <c r="D16" s="24">
        <v>1</v>
      </c>
      <c r="E16" s="29"/>
      <c r="F16" s="68">
        <f>IFERROR(VLOOKUP(C16,Table_Array_Rights,2,FALSE),"")</f>
        <v>0.75</v>
      </c>
      <c r="G16" s="29">
        <f>IFERROR(D16*F16,"")</f>
        <v>0.75</v>
      </c>
      <c r="H16" s="29"/>
      <c r="I16" s="30">
        <f>IFERROR(SUM(I11:I15)*D16*F16,"")</f>
        <v>3384.375</v>
      </c>
    </row>
    <row r="17" spans="1:9" x14ac:dyDescent="0.15">
      <c r="A17" s="22"/>
      <c r="B17" s="23" t="s">
        <v>45</v>
      </c>
      <c r="C17" s="65" t="s">
        <v>115</v>
      </c>
      <c r="D17" s="24"/>
      <c r="E17" s="29"/>
      <c r="F17" s="29"/>
      <c r="G17" s="25">
        <f>D17</f>
        <v>0</v>
      </c>
      <c r="H17" s="69">
        <f>IFERROR(VLOOKUP(C17,Table_Array_Freelance_Rates,2,FALSE),"")</f>
        <v>75</v>
      </c>
      <c r="I17" s="26">
        <f>IFERROR(G17*H17,0)</f>
        <v>0</v>
      </c>
    </row>
    <row r="18" spans="1:9" x14ac:dyDescent="0.15">
      <c r="A18" s="22"/>
      <c r="B18" s="23" t="s">
        <v>46</v>
      </c>
      <c r="C18" s="65"/>
      <c r="D18" s="24"/>
      <c r="E18" s="32"/>
      <c r="F18" s="32"/>
      <c r="G18" s="25">
        <f t="shared" ref="G18:G19" si="1">D18</f>
        <v>0</v>
      </c>
      <c r="H18" s="69" t="str">
        <f>IFERROR(VLOOKUP(C18,Table_Array_Freelance_Rates,2,FALSE),"")</f>
        <v/>
      </c>
      <c r="I18" s="26">
        <f t="shared" ref="I18:I22" si="2">IFERROR(G18*H18,0)</f>
        <v>0</v>
      </c>
    </row>
    <row r="19" spans="1:9" x14ac:dyDescent="0.15">
      <c r="A19" s="22"/>
      <c r="B19" s="23" t="s">
        <v>46</v>
      </c>
      <c r="C19" s="65"/>
      <c r="D19" s="24"/>
      <c r="E19" s="71"/>
      <c r="F19" s="70"/>
      <c r="G19" s="25">
        <f t="shared" si="1"/>
        <v>0</v>
      </c>
      <c r="H19" s="69" t="str">
        <f>IFERROR(VLOOKUP(C19,Table_Array_Freelance_Rates,2,FALSE),"")</f>
        <v/>
      </c>
      <c r="I19" s="26">
        <f t="shared" si="2"/>
        <v>0</v>
      </c>
    </row>
    <row r="20" spans="1:9" x14ac:dyDescent="0.15">
      <c r="A20" s="22"/>
      <c r="B20" s="23" t="s">
        <v>47</v>
      </c>
      <c r="C20" s="65" t="s">
        <v>116</v>
      </c>
      <c r="D20" s="24"/>
      <c r="E20" s="66" t="s">
        <v>118</v>
      </c>
      <c r="F20" s="70"/>
      <c r="G20" s="25">
        <f>D20</f>
        <v>0</v>
      </c>
      <c r="H20" s="76">
        <f>IFERROR(VLOOKUP(C20,Table_Array_Production,MATCH(E20,Lookup_Array_Production,0),FALSE),"")</f>
        <v>196.875</v>
      </c>
      <c r="I20" s="26">
        <f t="shared" si="2"/>
        <v>0</v>
      </c>
    </row>
    <row r="21" spans="1:9" x14ac:dyDescent="0.15">
      <c r="A21" s="22"/>
      <c r="B21" s="23" t="s">
        <v>48</v>
      </c>
      <c r="C21" s="65" t="s">
        <v>117</v>
      </c>
      <c r="D21" s="24">
        <v>3</v>
      </c>
      <c r="E21" s="66" t="s">
        <v>118</v>
      </c>
      <c r="F21" s="32"/>
      <c r="G21" s="25">
        <f>D21</f>
        <v>3</v>
      </c>
      <c r="H21" s="76">
        <f>IFERROR(VLOOKUP(C21,Table_Array_Production,MATCH(E21,Lookup_Array_Production,0),FALSE),"")</f>
        <v>131.25</v>
      </c>
      <c r="I21" s="26">
        <f t="shared" si="2"/>
        <v>393.75</v>
      </c>
    </row>
    <row r="22" spans="1:9" x14ac:dyDescent="0.15">
      <c r="A22" s="22"/>
      <c r="B22" s="23" t="s">
        <v>48</v>
      </c>
      <c r="C22" s="65"/>
      <c r="D22" s="24"/>
      <c r="E22" s="66"/>
      <c r="F22" s="33"/>
      <c r="G22" s="25">
        <f>D22</f>
        <v>0</v>
      </c>
      <c r="H22" s="76" t="str">
        <f>IFERROR(VLOOKUP(C22,Table_Array_Production,MATCH(E22,Lookup_Array_Production,0),FALSE),"")</f>
        <v/>
      </c>
      <c r="I22" s="26">
        <f t="shared" si="2"/>
        <v>0</v>
      </c>
    </row>
    <row r="23" spans="1:9" x14ac:dyDescent="0.15">
      <c r="A23" s="22"/>
      <c r="B23" s="23"/>
      <c r="C23" s="23"/>
      <c r="D23" s="15"/>
      <c r="E23" s="34"/>
      <c r="F23" s="35" t="s">
        <v>49</v>
      </c>
      <c r="G23" s="35"/>
      <c r="H23" s="36"/>
      <c r="I23" s="26">
        <f>SUM(I11:I22)</f>
        <v>8290.625</v>
      </c>
    </row>
    <row r="24" spans="1:9" x14ac:dyDescent="0.15">
      <c r="A24" s="22"/>
      <c r="B24" s="23"/>
      <c r="C24" s="23"/>
      <c r="D24" s="38"/>
      <c r="E24" s="39"/>
      <c r="F24" s="40"/>
      <c r="G24" s="40"/>
      <c r="H24" s="41"/>
      <c r="I24" s="42"/>
    </row>
    <row r="25" spans="1:9" x14ac:dyDescent="0.15">
      <c r="A25" s="22" t="s">
        <v>50</v>
      </c>
      <c r="B25" s="23" t="s">
        <v>51</v>
      </c>
      <c r="C25" s="65" t="s">
        <v>107</v>
      </c>
      <c r="D25" s="24">
        <v>3</v>
      </c>
      <c r="E25" s="66" t="s">
        <v>92</v>
      </c>
      <c r="F25" s="67">
        <f t="shared" ref="F25:F30" si="3">IFERROR(VLOOKUP(C25,Table_Array_Page_design,MATCH(E25,Lookup_Array_Page_design,0),FALSE),"")</f>
        <v>7</v>
      </c>
      <c r="G25" s="25">
        <f>IFERROR(D25*F25,"")</f>
        <v>21</v>
      </c>
      <c r="H25" s="69">
        <f>IFERROR(VLOOKUP(C25,Table_Array_Page_design,5,FALSE),"")</f>
        <v>100</v>
      </c>
      <c r="I25" s="26">
        <f>IFERROR(G25*H25,0)</f>
        <v>2100</v>
      </c>
    </row>
    <row r="26" spans="1:9" x14ac:dyDescent="0.15">
      <c r="A26" s="43"/>
      <c r="B26" s="23" t="s">
        <v>54</v>
      </c>
      <c r="C26" s="27" t="str">
        <f>C25</f>
        <v>Minor trade</v>
      </c>
      <c r="D26" s="31"/>
      <c r="E26" s="66"/>
      <c r="F26" s="67" t="str">
        <f t="shared" si="3"/>
        <v/>
      </c>
      <c r="G26" s="25" t="str">
        <f t="shared" ref="G26:G29" si="4">IFERROR(D26*F26,"")</f>
        <v/>
      </c>
      <c r="H26" s="69">
        <f>IFERROR(VLOOKUP(C26,Table_Array_Page_design,18,FALSE),"")</f>
        <v>85</v>
      </c>
      <c r="I26" s="26">
        <f t="shared" ref="I26:I40" si="5">IFERROR(G26*H26,0)</f>
        <v>0</v>
      </c>
    </row>
    <row r="27" spans="1:9" x14ac:dyDescent="0.15">
      <c r="A27" s="43"/>
      <c r="B27" s="23" t="s">
        <v>56</v>
      </c>
      <c r="C27" s="27" t="str">
        <f t="shared" ref="C27:C30" si="6">C26</f>
        <v>Minor trade</v>
      </c>
      <c r="D27" s="31">
        <v>4</v>
      </c>
      <c r="E27" s="66" t="s">
        <v>94</v>
      </c>
      <c r="F27" s="67">
        <f t="shared" si="3"/>
        <v>20.6</v>
      </c>
      <c r="G27" s="25">
        <f t="shared" si="4"/>
        <v>82.4</v>
      </c>
      <c r="H27" s="69">
        <f>IFERROR(VLOOKUP(C27,Table_Array_Page_design,18,FALSE),"")</f>
        <v>85</v>
      </c>
      <c r="I27" s="26">
        <f t="shared" si="5"/>
        <v>7004.0000000000009</v>
      </c>
    </row>
    <row r="28" spans="1:9" x14ac:dyDescent="0.15">
      <c r="A28" s="43"/>
      <c r="B28" s="23" t="s">
        <v>56</v>
      </c>
      <c r="C28" s="27" t="str">
        <f t="shared" si="6"/>
        <v>Minor trade</v>
      </c>
      <c r="D28" s="31"/>
      <c r="E28" s="66"/>
      <c r="F28" s="67" t="str">
        <f t="shared" si="3"/>
        <v/>
      </c>
      <c r="G28" s="25" t="str">
        <f t="shared" si="4"/>
        <v/>
      </c>
      <c r="H28" s="69">
        <f>IFERROR(VLOOKUP(C28,Table_Array_Page_design,18,FALSE),"")</f>
        <v>85</v>
      </c>
      <c r="I28" s="26">
        <f t="shared" si="5"/>
        <v>0</v>
      </c>
    </row>
    <row r="29" spans="1:9" x14ac:dyDescent="0.15">
      <c r="A29" s="43"/>
      <c r="B29" s="23" t="s">
        <v>56</v>
      </c>
      <c r="C29" s="27" t="str">
        <f t="shared" si="6"/>
        <v>Minor trade</v>
      </c>
      <c r="D29" s="31"/>
      <c r="E29" s="66"/>
      <c r="F29" s="67" t="str">
        <f t="shared" si="3"/>
        <v/>
      </c>
      <c r="G29" s="25" t="str">
        <f t="shared" si="4"/>
        <v/>
      </c>
      <c r="H29" s="69">
        <f>IFERROR(VLOOKUP(C29,Table_Array_Page_design,18,FALSE),"")</f>
        <v>85</v>
      </c>
      <c r="I29" s="26">
        <f t="shared" si="5"/>
        <v>0</v>
      </c>
    </row>
    <row r="30" spans="1:9" x14ac:dyDescent="0.15">
      <c r="A30" s="43"/>
      <c r="B30" s="23" t="s">
        <v>57</v>
      </c>
      <c r="C30" s="27" t="str">
        <f t="shared" si="6"/>
        <v>Minor trade</v>
      </c>
      <c r="D30" s="31"/>
      <c r="E30" s="66"/>
      <c r="F30" s="67" t="str">
        <f t="shared" si="3"/>
        <v/>
      </c>
      <c r="G30" s="25" t="str">
        <f>IFERROR(D30*F30,"")</f>
        <v/>
      </c>
      <c r="H30" s="69">
        <f>IFERROR(VLOOKUP(C30,Table_Array_Page_design,22,FALSE),"")</f>
        <v>65</v>
      </c>
      <c r="I30" s="26">
        <f t="shared" si="5"/>
        <v>0</v>
      </c>
    </row>
    <row r="31" spans="1:9" x14ac:dyDescent="0.15">
      <c r="A31" s="43"/>
      <c r="B31" s="23" t="s">
        <v>59</v>
      </c>
      <c r="C31" s="70"/>
      <c r="D31" s="31"/>
      <c r="E31" s="66"/>
      <c r="F31" s="67" t="str">
        <f>IFERROR(VLOOKUP(B31,Table_Array_interior_additionals,MATCH(E31,Lookup_Array_interior_additionals,0),FALSE),"")</f>
        <v/>
      </c>
      <c r="G31" s="25" t="str">
        <f>IFERROR(D31*F31,"")</f>
        <v/>
      </c>
      <c r="H31" s="69">
        <f>BHR_concept</f>
        <v>95</v>
      </c>
      <c r="I31" s="26">
        <f>IFERROR(G31*H31,0)</f>
        <v>0</v>
      </c>
    </row>
    <row r="32" spans="1:9" x14ac:dyDescent="0.15">
      <c r="A32" s="43"/>
      <c r="B32" s="23" t="s">
        <v>60</v>
      </c>
      <c r="C32" s="70"/>
      <c r="D32" s="31"/>
      <c r="E32" s="66"/>
      <c r="F32" s="67" t="str">
        <f>IFERROR(VLOOKUP(B32,Table_Array_interior_additionals,MATCH(E32,Lookup_Array_interior_additionals,0),FALSE),"")</f>
        <v/>
      </c>
      <c r="G32" s="25" t="str">
        <f>IFERROR(D32*F32,"")</f>
        <v/>
      </c>
      <c r="H32" s="69">
        <f>BHR_design</f>
        <v>95</v>
      </c>
      <c r="I32" s="26">
        <f>IFERROR(G32*H32,0)</f>
        <v>0</v>
      </c>
    </row>
    <row r="33" spans="1:9" x14ac:dyDescent="0.15">
      <c r="A33" s="43"/>
      <c r="B33" s="23" t="s">
        <v>45</v>
      </c>
      <c r="C33" s="65" t="s">
        <v>115</v>
      </c>
      <c r="D33" s="24">
        <v>3</v>
      </c>
      <c r="E33" s="29"/>
      <c r="F33" s="44"/>
      <c r="G33" s="25">
        <f>D33</f>
        <v>3</v>
      </c>
      <c r="H33" s="69" t="str">
        <f t="shared" ref="H33:H40" si="7">IFERROR(VLOOKUP(C33,Table_Array_Page_design,5,FALSE),"")</f>
        <v/>
      </c>
      <c r="I33" s="26">
        <f t="shared" si="5"/>
        <v>0</v>
      </c>
    </row>
    <row r="34" spans="1:9" x14ac:dyDescent="0.15">
      <c r="A34" s="43"/>
      <c r="B34" s="23" t="s">
        <v>46</v>
      </c>
      <c r="C34" s="65"/>
      <c r="D34" s="24"/>
      <c r="E34" s="32"/>
      <c r="F34" s="44"/>
      <c r="G34" s="25">
        <f t="shared" ref="G34:G40" si="8">D34</f>
        <v>0</v>
      </c>
      <c r="H34" s="69" t="str">
        <f t="shared" si="7"/>
        <v/>
      </c>
      <c r="I34" s="26">
        <f t="shared" si="5"/>
        <v>0</v>
      </c>
    </row>
    <row r="35" spans="1:9" x14ac:dyDescent="0.15">
      <c r="A35" s="43"/>
      <c r="B35" s="23" t="s">
        <v>46</v>
      </c>
      <c r="C35" s="65"/>
      <c r="D35" s="24"/>
      <c r="E35" s="33"/>
      <c r="F35" s="44"/>
      <c r="G35" s="25">
        <f t="shared" si="8"/>
        <v>0</v>
      </c>
      <c r="H35" s="69" t="str">
        <f t="shared" si="7"/>
        <v/>
      </c>
      <c r="I35" s="26">
        <f t="shared" si="5"/>
        <v>0</v>
      </c>
    </row>
    <row r="36" spans="1:9" x14ac:dyDescent="0.15">
      <c r="A36" s="43"/>
      <c r="B36" s="23" t="s">
        <v>46</v>
      </c>
      <c r="C36" s="65"/>
      <c r="D36" s="24"/>
      <c r="E36" s="32"/>
      <c r="F36" s="44"/>
      <c r="G36" s="25">
        <f t="shared" si="8"/>
        <v>0</v>
      </c>
      <c r="H36" s="69" t="str">
        <f t="shared" si="7"/>
        <v/>
      </c>
      <c r="I36" s="26">
        <f t="shared" si="5"/>
        <v>0</v>
      </c>
    </row>
    <row r="37" spans="1:9" x14ac:dyDescent="0.15">
      <c r="A37" s="43"/>
      <c r="B37" s="23" t="s">
        <v>46</v>
      </c>
      <c r="C37" s="65"/>
      <c r="D37" s="24"/>
      <c r="E37" s="33"/>
      <c r="F37" s="44"/>
      <c r="G37" s="25">
        <f t="shared" si="8"/>
        <v>0</v>
      </c>
      <c r="H37" s="69" t="str">
        <f t="shared" si="7"/>
        <v/>
      </c>
      <c r="I37" s="26">
        <f t="shared" si="5"/>
        <v>0</v>
      </c>
    </row>
    <row r="38" spans="1:9" x14ac:dyDescent="0.15">
      <c r="A38" s="43"/>
      <c r="B38" s="23" t="s">
        <v>47</v>
      </c>
      <c r="C38" s="65" t="s">
        <v>116</v>
      </c>
      <c r="D38" s="24">
        <v>3</v>
      </c>
      <c r="E38" s="66" t="s">
        <v>118</v>
      </c>
      <c r="F38" s="44"/>
      <c r="G38" s="25">
        <f t="shared" si="8"/>
        <v>3</v>
      </c>
      <c r="H38" s="69" t="str">
        <f t="shared" si="7"/>
        <v/>
      </c>
      <c r="I38" s="26">
        <f t="shared" si="5"/>
        <v>0</v>
      </c>
    </row>
    <row r="39" spans="1:9" x14ac:dyDescent="0.15">
      <c r="A39" s="43"/>
      <c r="B39" s="23" t="s">
        <v>48</v>
      </c>
      <c r="C39" s="65"/>
      <c r="D39" s="24"/>
      <c r="E39" s="66"/>
      <c r="F39" s="44"/>
      <c r="G39" s="25">
        <f t="shared" si="8"/>
        <v>0</v>
      </c>
      <c r="H39" s="69" t="str">
        <f t="shared" si="7"/>
        <v/>
      </c>
      <c r="I39" s="26">
        <f t="shared" si="5"/>
        <v>0</v>
      </c>
    </row>
    <row r="40" spans="1:9" x14ac:dyDescent="0.15">
      <c r="A40" s="43"/>
      <c r="B40" s="23" t="s">
        <v>48</v>
      </c>
      <c r="C40" s="65"/>
      <c r="D40" s="24"/>
      <c r="E40" s="66"/>
      <c r="F40" s="44"/>
      <c r="G40" s="25">
        <f t="shared" si="8"/>
        <v>0</v>
      </c>
      <c r="H40" s="69" t="str">
        <f t="shared" si="7"/>
        <v/>
      </c>
      <c r="I40" s="26">
        <f t="shared" si="5"/>
        <v>0</v>
      </c>
    </row>
    <row r="41" spans="1:9" x14ac:dyDescent="0.15">
      <c r="A41" s="43"/>
      <c r="B41" s="43"/>
      <c r="C41" s="45"/>
      <c r="D41" s="45"/>
      <c r="E41" s="34"/>
      <c r="F41" s="46" t="s">
        <v>61</v>
      </c>
      <c r="G41" s="46"/>
      <c r="H41" s="47"/>
      <c r="I41" s="37">
        <f>IFERROR(SUM(I25:I40),0)</f>
        <v>9104</v>
      </c>
    </row>
    <row r="42" spans="1:9" x14ac:dyDescent="0.15">
      <c r="A42" s="43"/>
      <c r="B42" s="43"/>
      <c r="C42" s="23"/>
      <c r="D42" s="15"/>
      <c r="E42" s="48"/>
      <c r="F42" s="46"/>
      <c r="G42" s="46"/>
      <c r="H42" s="47"/>
      <c r="I42" s="42"/>
    </row>
    <row r="43" spans="1:9" x14ac:dyDescent="0.15">
      <c r="A43" s="43"/>
      <c r="B43" s="43"/>
      <c r="C43" s="43"/>
      <c r="D43" s="43"/>
      <c r="E43" s="29"/>
      <c r="F43" s="46" t="s">
        <v>62</v>
      </c>
      <c r="G43" s="49">
        <f>IFERROR(SUM(G11:G40),0)</f>
        <v>159.55000000000001</v>
      </c>
      <c r="H43" s="47" t="s">
        <v>63</v>
      </c>
      <c r="I43" s="37">
        <f>IFERROR(SUM(I41,I23),0)</f>
        <v>17394.625</v>
      </c>
    </row>
    <row r="44" spans="1:9" x14ac:dyDescent="0.15">
      <c r="F44" s="4"/>
      <c r="G44" s="4"/>
    </row>
    <row r="45" spans="1:9" x14ac:dyDescent="0.15">
      <c r="F45" s="4"/>
      <c r="G45" s="4"/>
    </row>
    <row r="46" spans="1:9" x14ac:dyDescent="0.15">
      <c r="F46" s="4"/>
      <c r="G46" s="4"/>
    </row>
    <row r="47" spans="1:9" x14ac:dyDescent="0.15">
      <c r="F47" s="4"/>
      <c r="G47" s="4"/>
    </row>
    <row r="48" spans="1:9" x14ac:dyDescent="0.15">
      <c r="F48" s="4"/>
      <c r="G48" s="4"/>
    </row>
    <row r="49" spans="6:7" x14ac:dyDescent="0.15">
      <c r="F49" s="4"/>
      <c r="G49" s="4"/>
    </row>
    <row r="50" spans="6:7" x14ac:dyDescent="0.15">
      <c r="F50" s="4"/>
      <c r="G50" s="4"/>
    </row>
    <row r="51" spans="6:7" x14ac:dyDescent="0.15">
      <c r="F51" s="4"/>
      <c r="G51" s="4"/>
    </row>
    <row r="52" spans="6:7" x14ac:dyDescent="0.15">
      <c r="F52" s="4"/>
      <c r="G52" s="4"/>
    </row>
    <row r="53" spans="6:7" x14ac:dyDescent="0.15">
      <c r="F53" s="4"/>
      <c r="G53" s="4"/>
    </row>
    <row r="54" spans="6:7" x14ac:dyDescent="0.15">
      <c r="F54" s="4"/>
      <c r="G54" s="4"/>
    </row>
    <row r="55" spans="6:7" x14ac:dyDescent="0.15">
      <c r="F55" s="4"/>
      <c r="G55" s="4"/>
    </row>
    <row r="56" spans="6:7" x14ac:dyDescent="0.15">
      <c r="F56" s="4"/>
      <c r="G56" s="4"/>
    </row>
    <row r="57" spans="6:7" x14ac:dyDescent="0.15">
      <c r="F57" s="4"/>
      <c r="G57" s="4"/>
    </row>
    <row r="58" spans="6:7" x14ac:dyDescent="0.15">
      <c r="F58" s="4"/>
      <c r="G58" s="4"/>
    </row>
    <row r="59" spans="6:7" x14ac:dyDescent="0.15">
      <c r="F59" s="4"/>
      <c r="G59" s="4"/>
    </row>
    <row r="60" spans="6:7" x14ac:dyDescent="0.15">
      <c r="F60" s="4"/>
      <c r="G60" s="4"/>
    </row>
    <row r="61" spans="6:7" x14ac:dyDescent="0.15">
      <c r="F61" s="4"/>
      <c r="G61" s="4"/>
    </row>
    <row r="62" spans="6:7" x14ac:dyDescent="0.15">
      <c r="F62" s="4"/>
      <c r="G62" s="4"/>
    </row>
    <row r="63" spans="6:7" x14ac:dyDescent="0.15">
      <c r="F63" s="4"/>
      <c r="G63" s="4"/>
    </row>
    <row r="64" spans="6:7" x14ac:dyDescent="0.15">
      <c r="F64" s="4"/>
      <c r="G64" s="4"/>
    </row>
    <row r="65" spans="6:7" x14ac:dyDescent="0.15">
      <c r="F65" s="4"/>
      <c r="G65" s="4"/>
    </row>
    <row r="66" spans="6:7" x14ac:dyDescent="0.15">
      <c r="F66" s="4"/>
      <c r="G66" s="4"/>
    </row>
  </sheetData>
  <mergeCells count="1">
    <mergeCell ref="B3:B5"/>
  </mergeCells>
  <phoneticPr fontId="5" type="noConversion"/>
  <conditionalFormatting sqref="C11">
    <cfRule type="expression" dxfId="25" priority="30">
      <formula>AND(ISBLANK(C11),OR(ISNUMBER(D11),NOT(ISBLANK(E11))))</formula>
    </cfRule>
  </conditionalFormatting>
  <conditionalFormatting sqref="D11">
    <cfRule type="expression" dxfId="24" priority="29">
      <formula>AND(NOT(ISNUMBER(D11)),OR(NOT(ISBLANK(C11)),NOT(ISBLANK(E11))))</formula>
    </cfRule>
  </conditionalFormatting>
  <conditionalFormatting sqref="E11">
    <cfRule type="expression" dxfId="23" priority="28">
      <formula>AND(ISBLANK(E11),OR(ISNUMBER(D11),NOT(ISBLANK(C11))))</formula>
    </cfRule>
  </conditionalFormatting>
  <conditionalFormatting sqref="C20:C22">
    <cfRule type="expression" dxfId="22" priority="27">
      <formula>AND(ISBLANK(C20),OR(ISNUMBER(D20),NOT(ISBLANK(E20))))</formula>
    </cfRule>
  </conditionalFormatting>
  <conditionalFormatting sqref="D20:D22">
    <cfRule type="expression" dxfId="21" priority="26">
      <formula>AND(NOT(ISNUMBER(D20)),OR(NOT(ISBLANK(C20)),NOT(ISBLANK(E20))))</formula>
    </cfRule>
  </conditionalFormatting>
  <conditionalFormatting sqref="E20:E22">
    <cfRule type="expression" dxfId="20" priority="25">
      <formula>AND(ISBLANK(E20),OR(ISNUMBER(D20),NOT(ISBLANK(C20))))</formula>
    </cfRule>
  </conditionalFormatting>
  <conditionalFormatting sqref="C25">
    <cfRule type="expression" dxfId="19" priority="24">
      <formula>AND(ISBLANK(C25),OR(ISNUMBER(D25),NOT(ISBLANK(E25))))</formula>
    </cfRule>
  </conditionalFormatting>
  <conditionalFormatting sqref="D25">
    <cfRule type="expression" dxfId="18" priority="23">
      <formula>AND(NOT(ISNUMBER(D25)),OR(NOT(ISBLANK(C25)),NOT(ISBLANK(E25))))</formula>
    </cfRule>
  </conditionalFormatting>
  <conditionalFormatting sqref="E25">
    <cfRule type="expression" dxfId="17" priority="22">
      <formula>AND(ISBLANK(E25),OR(ISNUMBER(D25),NOT(ISBLANK(C25))))</formula>
    </cfRule>
  </conditionalFormatting>
  <conditionalFormatting sqref="D38:D40">
    <cfRule type="expression" dxfId="16" priority="20">
      <formula>AND(NOT(ISNUMBER(D38)),OR(NOT(ISBLANK(C38)),NOT(ISBLANK(E38))))</formula>
    </cfRule>
  </conditionalFormatting>
  <conditionalFormatting sqref="D13">
    <cfRule type="expression" dxfId="15" priority="18">
      <formula>AND(NOT(ISNUMBER(D13)),NOT(ISBLANK(E13)))</formula>
    </cfRule>
  </conditionalFormatting>
  <conditionalFormatting sqref="E13">
    <cfRule type="expression" dxfId="14" priority="17">
      <formula>AND(ISNUMBER(D13),ISBLANK(E13))</formula>
    </cfRule>
  </conditionalFormatting>
  <conditionalFormatting sqref="D14:D15">
    <cfRule type="expression" dxfId="13" priority="16">
      <formula>AND(NOT(ISNUMBER(D14)),NOT(ISBLANK(E14)))</formula>
    </cfRule>
  </conditionalFormatting>
  <conditionalFormatting sqref="E14:E15">
    <cfRule type="expression" dxfId="12" priority="15">
      <formula>AND(ISNUMBER(D14),ISBLANK(E14))</formula>
    </cfRule>
  </conditionalFormatting>
  <conditionalFormatting sqref="D26:D32">
    <cfRule type="expression" dxfId="11" priority="14">
      <formula>AND(NOT(ISNUMBER(D26)),NOT(ISBLANK(E26)))</formula>
    </cfRule>
  </conditionalFormatting>
  <conditionalFormatting sqref="E26:E32">
    <cfRule type="expression" dxfId="10" priority="13">
      <formula>AND(ISNUMBER(D26),ISBLANK(E26))</formula>
    </cfRule>
  </conditionalFormatting>
  <conditionalFormatting sqref="C16">
    <cfRule type="expression" dxfId="9" priority="12">
      <formula>AND(ISBLANK(C16),ISNUMBER(D16))</formula>
    </cfRule>
  </conditionalFormatting>
  <conditionalFormatting sqref="D16">
    <cfRule type="expression" dxfId="8" priority="11">
      <formula>AND(NOT(ISNUMBER(D16)),NOT(ISBLANK(C16)))</formula>
    </cfRule>
  </conditionalFormatting>
  <conditionalFormatting sqref="C17:C19">
    <cfRule type="expression" dxfId="7" priority="10">
      <formula>AND(ISBLANK(C17),ISNUMBER(D17))</formula>
    </cfRule>
  </conditionalFormatting>
  <conditionalFormatting sqref="D17:D19">
    <cfRule type="expression" dxfId="6" priority="9">
      <formula>AND(NOT(ISNUMBER(D17)),NOT(ISBLANK(C17)))</formula>
    </cfRule>
  </conditionalFormatting>
  <conditionalFormatting sqref="C37">
    <cfRule type="expression" dxfId="5" priority="6">
      <formula>AND(ISBLANK(C37),ISNUMBER(D37))</formula>
    </cfRule>
  </conditionalFormatting>
  <conditionalFormatting sqref="D33:D37">
    <cfRule type="expression" dxfId="4" priority="5">
      <formula>AND(NOT(ISNUMBER(D33)),NOT(ISBLANK(C33)))</formula>
    </cfRule>
  </conditionalFormatting>
  <conditionalFormatting sqref="C38:C40">
    <cfRule type="expression" dxfId="3" priority="4">
      <formula>AND(ISBLANK(C38),OR(ISNUMBER(D38),NOT(ISBLANK(E38))))</formula>
    </cfRule>
  </conditionalFormatting>
  <conditionalFormatting sqref="E38:E40">
    <cfRule type="expression" dxfId="2" priority="3">
      <formula>AND(ISBLANK(E38),OR(ISNUMBER(D38),NOT(ISBLANK(C38))))</formula>
    </cfRule>
  </conditionalFormatting>
  <conditionalFormatting sqref="C33:C35">
    <cfRule type="expression" dxfId="1" priority="2">
      <formula>AND(ISBLANK(C33),ISNUMBER(D33))</formula>
    </cfRule>
  </conditionalFormatting>
  <conditionalFormatting sqref="C36">
    <cfRule type="expression" dxfId="0" priority="1">
      <formula>AND(ISBLANK(C36),ISNUMBER(D36))</formula>
    </cfRule>
  </conditionalFormatting>
  <dataValidations count="13">
    <dataValidation type="list" allowBlank="1" showInputMessage="1" showErrorMessage="1" sqref="C11" xr:uid="{E99DB71A-6C94-9046-8581-D6D38E28375E}">
      <formula1>Menu_Cover_Design</formula1>
    </dataValidation>
    <dataValidation type="list" allowBlank="1" showInputMessage="1" showErrorMessage="1" sqref="E11" xr:uid="{2E855E44-3907-AE4C-AA2B-CBD97511064A}">
      <formula1>Menu_Cover_Complexity</formula1>
    </dataValidation>
    <dataValidation type="list" allowBlank="1" showInputMessage="1" showErrorMessage="1" sqref="E13" xr:uid="{11E14A00-2C45-4D48-98AF-074B51E6F379}">
      <formula1>Menu_Cover_Complexity_Add</formula1>
    </dataValidation>
    <dataValidation type="list" allowBlank="1" showInputMessage="1" showErrorMessage="1" sqref="E14:E15" xr:uid="{FEB9E5A5-21C0-EC4A-A8CC-9B5CF1623E89}">
      <formula1>Menu_Cover_Illustration</formula1>
    </dataValidation>
    <dataValidation type="list" allowBlank="1" showInputMessage="1" showErrorMessage="1" sqref="C16" xr:uid="{061157B1-E650-B841-A5DF-2F4E6511372D}">
      <formula1>Menu_Intellectual_Property_Rights</formula1>
    </dataValidation>
    <dataValidation type="list" allowBlank="1" showInputMessage="1" showErrorMessage="1" sqref="C17:C19 C33:C36 C37" xr:uid="{01B47D51-6C1B-E844-A84F-9C4D221A0339}">
      <formula1>Menu_Freelance_Rates</formula1>
    </dataValidation>
    <dataValidation type="list" allowBlank="1" showInputMessage="1" showErrorMessage="1" sqref="C20:C22 C38:C40" xr:uid="{9A7A6566-A975-1A41-A4EB-22A97445F947}">
      <formula1>Menu_Production_Art</formula1>
    </dataValidation>
    <dataValidation type="list" allowBlank="1" showInputMessage="1" showErrorMessage="1" sqref="E20:E22 E38:E40" xr:uid="{E4D1B2A4-13CC-504F-8B58-8D87B93EB3AF}">
      <formula1>Menu_Production_Art_Complexity</formula1>
    </dataValidation>
    <dataValidation type="list" allowBlank="1" showInputMessage="1" showErrorMessage="1" sqref="C25" xr:uid="{24851337-EDF9-7147-90F4-06A12392C9C6}">
      <formula1>Menu_Page_design</formula1>
    </dataValidation>
    <dataValidation type="list" allowBlank="1" showInputMessage="1" showErrorMessage="1" sqref="E25" xr:uid="{0B3F48EE-ACD8-5C48-A1B6-22CAF2632BFC}">
      <formula1>Menu_Interior_page_design</formula1>
    </dataValidation>
    <dataValidation type="list" allowBlank="1" showInputMessage="1" showErrorMessage="1" sqref="E27:E29" xr:uid="{06EBE13B-20EE-184E-9B7C-E5C20912CB9E}">
      <formula1>Menu_Interior_illustration</formula1>
    </dataValidation>
    <dataValidation type="list" allowBlank="1" showInputMessage="1" showErrorMessage="1" sqref="E30" xr:uid="{F355BA7E-5D81-D24A-834F-45CB211A6AD8}">
      <formula1>Menu_Interior_page_makeup</formula1>
    </dataValidation>
    <dataValidation type="list" allowBlank="1" showInputMessage="1" showErrorMessage="1" sqref="E31:E32" xr:uid="{56CB9EE8-CBAF-A34E-893C-ED2E632DF514}">
      <formula1>Menu_Interior_additionals</formula1>
    </dataValidation>
  </dataValidations>
  <pageMargins left="0.75" right="0.75" top="1" bottom="1" header="0.5" footer="0.5"/>
  <pageSetup paperSize="297" scale="79" orientation="landscape" horizontalDpi="4294967292" verticalDpi="4294967292"/>
  <headerFooter>
    <oddHeader>&amp;CGrC 403 - Lab Final&amp;RNAME HERE</oddHeader>
  </headerFooter>
  <colBreaks count="1" manualBreakCount="1">
    <brk id="7" max="1048575" man="1"/>
  </colBreaks>
  <ignoredErrors>
    <ignoredError sqref="I12 H21" formula="1"/>
    <ignoredError sqref="G16" unlockedFormula="1"/>
  </ignoredErrors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zoomScale="110" zoomScaleNormal="110" workbookViewId="0">
      <selection activeCell="A2" sqref="A2"/>
    </sheetView>
  </sheetViews>
  <sheetFormatPr baseColWidth="10" defaultColWidth="11" defaultRowHeight="13" x14ac:dyDescent="0.15"/>
  <cols>
    <col min="1" max="1" width="33.6640625" customWidth="1"/>
    <col min="2" max="4" width="22.33203125" customWidth="1"/>
    <col min="5" max="5" width="26.5" customWidth="1"/>
    <col min="6" max="6" width="27.83203125" customWidth="1"/>
    <col min="7" max="7" width="28.1640625" customWidth="1"/>
    <col min="8" max="8" width="26.5" customWidth="1"/>
    <col min="9" max="9" width="23" customWidth="1"/>
    <col min="10" max="10" width="22.33203125" customWidth="1"/>
    <col min="11" max="11" width="24.83203125" customWidth="1"/>
  </cols>
  <sheetData>
    <row r="1" spans="1:14" x14ac:dyDescent="0.15">
      <c r="A1" s="22" t="s">
        <v>64</v>
      </c>
      <c r="B1" s="50" t="s">
        <v>37</v>
      </c>
      <c r="C1" s="50" t="s">
        <v>65</v>
      </c>
      <c r="D1" s="50" t="s">
        <v>66</v>
      </c>
      <c r="E1" s="74" t="s">
        <v>67</v>
      </c>
      <c r="F1" s="51" t="s">
        <v>68</v>
      </c>
      <c r="G1" s="50" t="s">
        <v>40</v>
      </c>
      <c r="H1" s="50" t="s">
        <v>69</v>
      </c>
      <c r="I1" s="50" t="s">
        <v>70</v>
      </c>
      <c r="J1" s="51" t="s">
        <v>71</v>
      </c>
      <c r="K1" s="75" t="s">
        <v>72</v>
      </c>
      <c r="L1" s="75" t="s">
        <v>42</v>
      </c>
      <c r="M1" s="75" t="s">
        <v>73</v>
      </c>
      <c r="N1" s="52" t="s">
        <v>74</v>
      </c>
    </row>
    <row r="2" spans="1:14" x14ac:dyDescent="0.15">
      <c r="A2" s="43" t="s">
        <v>75</v>
      </c>
      <c r="B2" s="53">
        <v>26.3</v>
      </c>
      <c r="C2" s="53">
        <v>21.1</v>
      </c>
      <c r="D2" s="53">
        <v>15.8</v>
      </c>
      <c r="E2" s="73">
        <v>1.75</v>
      </c>
      <c r="F2" s="54">
        <v>95</v>
      </c>
      <c r="G2" s="53">
        <v>7.9</v>
      </c>
      <c r="H2" s="53">
        <v>5.5</v>
      </c>
      <c r="I2" s="53">
        <v>3.2</v>
      </c>
      <c r="J2" s="54">
        <v>95</v>
      </c>
      <c r="K2" s="53">
        <v>5.8</v>
      </c>
      <c r="L2" s="53">
        <v>3.8</v>
      </c>
      <c r="M2" s="53">
        <v>2</v>
      </c>
      <c r="N2" s="54">
        <v>105</v>
      </c>
    </row>
    <row r="3" spans="1:14" x14ac:dyDescent="0.15">
      <c r="A3" s="43" t="s">
        <v>76</v>
      </c>
      <c r="B3" s="53">
        <v>21.1</v>
      </c>
      <c r="C3" s="53">
        <v>18.399999999999999</v>
      </c>
      <c r="D3" s="53">
        <v>15.8</v>
      </c>
      <c r="E3" s="73">
        <v>1.2</v>
      </c>
      <c r="F3" s="54">
        <v>95</v>
      </c>
      <c r="G3" s="53">
        <v>10.5</v>
      </c>
      <c r="H3" s="53">
        <v>9.1999999999999993</v>
      </c>
      <c r="I3" s="53">
        <v>7.9</v>
      </c>
      <c r="J3" s="54">
        <v>95</v>
      </c>
      <c r="K3" s="53">
        <v>9.6</v>
      </c>
      <c r="L3" s="53">
        <v>5.8</v>
      </c>
      <c r="M3" s="53">
        <v>2</v>
      </c>
      <c r="N3" s="54">
        <v>105</v>
      </c>
    </row>
    <row r="4" spans="1:14" x14ac:dyDescent="0.15">
      <c r="A4" s="43" t="s">
        <v>77</v>
      </c>
      <c r="B4" s="53">
        <v>26.3</v>
      </c>
      <c r="C4" s="53">
        <v>18.399999999999999</v>
      </c>
      <c r="D4" s="53">
        <v>10.5</v>
      </c>
      <c r="E4" s="73">
        <v>0.2</v>
      </c>
      <c r="F4" s="54">
        <v>95</v>
      </c>
      <c r="G4" s="53">
        <v>5.3</v>
      </c>
      <c r="H4" s="53">
        <v>3.8</v>
      </c>
      <c r="I4" s="53">
        <v>2.4</v>
      </c>
      <c r="J4" s="54">
        <v>95</v>
      </c>
      <c r="K4" s="53">
        <v>9.6</v>
      </c>
      <c r="L4" s="53">
        <v>5.8</v>
      </c>
      <c r="M4" s="53">
        <v>2</v>
      </c>
      <c r="N4" s="54">
        <v>105</v>
      </c>
    </row>
    <row r="5" spans="1:14" x14ac:dyDescent="0.15">
      <c r="A5" s="43" t="s">
        <v>78</v>
      </c>
      <c r="B5" s="53">
        <v>26.3</v>
      </c>
      <c r="C5" s="53">
        <v>18.399999999999999</v>
      </c>
      <c r="D5" s="53">
        <v>10.5</v>
      </c>
      <c r="E5" s="73">
        <v>0.15</v>
      </c>
      <c r="F5" s="54">
        <v>95</v>
      </c>
      <c r="G5" s="53">
        <v>5.3</v>
      </c>
      <c r="H5" s="53">
        <v>3.4</v>
      </c>
      <c r="I5" s="53">
        <v>1.6</v>
      </c>
      <c r="J5" s="54">
        <v>95</v>
      </c>
      <c r="K5" s="53">
        <v>14.2</v>
      </c>
      <c r="L5" s="53">
        <v>9</v>
      </c>
      <c r="M5" s="53">
        <v>3.8</v>
      </c>
      <c r="N5" s="54">
        <v>105</v>
      </c>
    </row>
    <row r="6" spans="1:14" x14ac:dyDescent="0.15">
      <c r="A6" s="43" t="s">
        <v>79</v>
      </c>
      <c r="B6" s="53">
        <v>26.3</v>
      </c>
      <c r="C6" s="53">
        <v>18.399999999999999</v>
      </c>
      <c r="D6" s="53">
        <v>10.5</v>
      </c>
      <c r="E6" s="73">
        <v>0.25</v>
      </c>
      <c r="F6" s="54">
        <v>95</v>
      </c>
      <c r="G6" s="53">
        <v>5.3</v>
      </c>
      <c r="H6" s="53">
        <v>3.4</v>
      </c>
      <c r="I6" s="53">
        <v>1.6</v>
      </c>
      <c r="J6" s="54">
        <v>95</v>
      </c>
      <c r="K6" s="53">
        <v>7.6</v>
      </c>
      <c r="L6" s="53">
        <v>4.8</v>
      </c>
      <c r="M6" s="53">
        <v>2</v>
      </c>
      <c r="N6" s="54">
        <v>105</v>
      </c>
    </row>
    <row r="7" spans="1:14" x14ac:dyDescent="0.15">
      <c r="A7" s="22" t="s">
        <v>80</v>
      </c>
      <c r="B7" s="55"/>
      <c r="C7" s="26"/>
      <c r="D7" s="55"/>
      <c r="E7" s="73"/>
      <c r="F7" s="54"/>
      <c r="G7" s="55"/>
      <c r="H7" s="26"/>
      <c r="I7" s="55"/>
      <c r="J7" s="54"/>
      <c r="K7" s="53"/>
      <c r="L7" s="53"/>
      <c r="M7" s="53"/>
      <c r="N7" s="54"/>
    </row>
    <row r="8" spans="1:14" x14ac:dyDescent="0.15">
      <c r="A8" s="43" t="s">
        <v>36</v>
      </c>
      <c r="B8" s="53">
        <v>32.9</v>
      </c>
      <c r="C8" s="53">
        <v>22.4</v>
      </c>
      <c r="D8" s="53">
        <v>11.8</v>
      </c>
      <c r="E8" s="73">
        <v>1.25</v>
      </c>
      <c r="F8" s="54">
        <v>85</v>
      </c>
      <c r="G8" s="53">
        <v>8.8000000000000007</v>
      </c>
      <c r="H8" s="53">
        <v>5.9</v>
      </c>
      <c r="I8" s="53">
        <v>2.9</v>
      </c>
      <c r="J8" s="54">
        <v>85</v>
      </c>
      <c r="K8" s="53">
        <v>6.4</v>
      </c>
      <c r="L8" s="53">
        <v>4.2</v>
      </c>
      <c r="M8" s="53">
        <v>2.2000000000000002</v>
      </c>
      <c r="N8" s="54">
        <v>95</v>
      </c>
    </row>
    <row r="9" spans="1:14" x14ac:dyDescent="0.15">
      <c r="A9" s="43" t="s">
        <v>81</v>
      </c>
      <c r="B9" s="53">
        <v>29.4</v>
      </c>
      <c r="C9" s="53">
        <v>21.8</v>
      </c>
      <c r="D9" s="53">
        <v>14.1</v>
      </c>
      <c r="E9" s="73">
        <v>1</v>
      </c>
      <c r="F9" s="54">
        <v>85</v>
      </c>
      <c r="G9" s="53">
        <v>8.8000000000000007</v>
      </c>
      <c r="H9" s="53">
        <v>6.2</v>
      </c>
      <c r="I9" s="53">
        <v>3.5</v>
      </c>
      <c r="J9" s="54">
        <v>85</v>
      </c>
      <c r="K9" s="53">
        <v>10.6</v>
      </c>
      <c r="L9" s="53">
        <v>6.4</v>
      </c>
      <c r="M9" s="53">
        <v>2.2000000000000002</v>
      </c>
      <c r="N9" s="54">
        <v>95</v>
      </c>
    </row>
    <row r="10" spans="1:14" x14ac:dyDescent="0.15">
      <c r="A10" s="43" t="s">
        <v>82</v>
      </c>
      <c r="B10" s="53">
        <v>29.4</v>
      </c>
      <c r="C10" s="53">
        <v>20.3</v>
      </c>
      <c r="D10" s="53">
        <v>11.2</v>
      </c>
      <c r="E10" s="73">
        <v>1</v>
      </c>
      <c r="F10" s="54">
        <v>85</v>
      </c>
      <c r="G10" s="53">
        <v>8.8000000000000007</v>
      </c>
      <c r="H10" s="53">
        <v>5.6</v>
      </c>
      <c r="I10" s="53">
        <v>2.4</v>
      </c>
      <c r="J10" s="54">
        <v>85</v>
      </c>
      <c r="K10" s="53">
        <v>10.6</v>
      </c>
      <c r="L10" s="53">
        <v>6.4</v>
      </c>
      <c r="M10" s="53">
        <v>2.2000000000000002</v>
      </c>
      <c r="N10" s="54">
        <v>95</v>
      </c>
    </row>
    <row r="11" spans="1:14" x14ac:dyDescent="0.15">
      <c r="A11" s="43" t="s">
        <v>83</v>
      </c>
      <c r="B11" s="53">
        <v>29.4</v>
      </c>
      <c r="C11" s="56">
        <v>19</v>
      </c>
      <c r="D11" s="53">
        <v>8.5</v>
      </c>
      <c r="E11" s="73">
        <v>0.15</v>
      </c>
      <c r="F11" s="54">
        <v>85</v>
      </c>
      <c r="G11" s="53">
        <v>5.9</v>
      </c>
      <c r="H11" s="53">
        <v>4.3</v>
      </c>
      <c r="I11" s="53">
        <v>2.6</v>
      </c>
      <c r="J11" s="54">
        <v>85</v>
      </c>
      <c r="K11" s="53">
        <v>15.8</v>
      </c>
      <c r="L11" s="53">
        <v>10</v>
      </c>
      <c r="M11" s="53">
        <v>4.2</v>
      </c>
      <c r="N11" s="54">
        <v>95</v>
      </c>
    </row>
    <row r="12" spans="1:14" x14ac:dyDescent="0.15">
      <c r="A12" s="43" t="s">
        <v>84</v>
      </c>
      <c r="B12" s="53">
        <v>14.1</v>
      </c>
      <c r="C12" s="53">
        <v>11.8</v>
      </c>
      <c r="D12" s="53">
        <v>9.4</v>
      </c>
      <c r="E12" s="73">
        <v>0.5</v>
      </c>
      <c r="F12" s="54">
        <v>85</v>
      </c>
      <c r="G12" s="53">
        <v>4.7</v>
      </c>
      <c r="H12" s="53">
        <v>3.5</v>
      </c>
      <c r="I12" s="53">
        <v>2.4</v>
      </c>
      <c r="J12" s="54">
        <v>85</v>
      </c>
      <c r="K12" s="53">
        <v>8.4</v>
      </c>
      <c r="L12" s="53">
        <v>5.2</v>
      </c>
      <c r="M12" s="53">
        <v>2.2000000000000002</v>
      </c>
      <c r="N12" s="54">
        <v>95</v>
      </c>
    </row>
    <row r="13" spans="1:14" x14ac:dyDescent="0.15">
      <c r="B13" s="80"/>
      <c r="C13" s="80"/>
      <c r="D13" s="80"/>
      <c r="F13" s="57"/>
      <c r="G13" s="4"/>
      <c r="H13" s="4"/>
      <c r="I13" s="4"/>
      <c r="J13" s="4"/>
      <c r="K13" s="2"/>
      <c r="L13" s="2"/>
    </row>
    <row r="14" spans="1:14" x14ac:dyDescent="0.15">
      <c r="F14" s="57"/>
    </row>
    <row r="15" spans="1:14" x14ac:dyDescent="0.15">
      <c r="A15" s="22" t="s">
        <v>85</v>
      </c>
      <c r="B15" s="74" t="s">
        <v>86</v>
      </c>
      <c r="F15" s="57"/>
    </row>
    <row r="16" spans="1:14" x14ac:dyDescent="0.15">
      <c r="A16" s="43" t="s">
        <v>87</v>
      </c>
      <c r="B16" s="73">
        <v>1</v>
      </c>
      <c r="F16" s="57"/>
    </row>
    <row r="17" spans="1:6" x14ac:dyDescent="0.15">
      <c r="A17" s="43" t="s">
        <v>88</v>
      </c>
      <c r="B17" s="73">
        <v>0.75</v>
      </c>
      <c r="F17" s="57"/>
    </row>
    <row r="18" spans="1:6" x14ac:dyDescent="0.15">
      <c r="A18" s="43" t="s">
        <v>89</v>
      </c>
      <c r="B18" s="73">
        <v>0.75</v>
      </c>
      <c r="F18" s="57"/>
    </row>
    <row r="19" spans="1:6" x14ac:dyDescent="0.15">
      <c r="A19" s="43" t="s">
        <v>90</v>
      </c>
      <c r="B19" s="73">
        <v>1.75</v>
      </c>
      <c r="F19" s="57"/>
    </row>
  </sheetData>
  <mergeCells count="1">
    <mergeCell ref="B13:D13"/>
  </mergeCells>
  <phoneticPr fontId="5" type="noConversion"/>
  <pageMargins left="0.75" right="0.75" top="1" bottom="1" header="0.5" footer="0.5"/>
  <pageSetup orientation="landscape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5"/>
  <sheetViews>
    <sheetView workbookViewId="0">
      <selection activeCell="A10" sqref="A10:E11"/>
    </sheetView>
  </sheetViews>
  <sheetFormatPr baseColWidth="10" defaultColWidth="11" defaultRowHeight="13" x14ac:dyDescent="0.15"/>
  <cols>
    <col min="1" max="1" width="30.6640625" customWidth="1"/>
    <col min="2" max="4" width="22.33203125" customWidth="1"/>
    <col min="5" max="5" width="24.1640625" customWidth="1"/>
    <col min="6" max="6" width="25.1640625" customWidth="1"/>
    <col min="7" max="7" width="19.6640625" customWidth="1"/>
    <col min="8" max="19" width="24.5" customWidth="1"/>
  </cols>
  <sheetData>
    <row r="1" spans="1:22" ht="56" x14ac:dyDescent="0.15">
      <c r="A1" s="21"/>
      <c r="B1" s="58" t="s">
        <v>91</v>
      </c>
      <c r="C1" s="58" t="s">
        <v>53</v>
      </c>
      <c r="D1" s="58" t="s">
        <v>92</v>
      </c>
      <c r="E1" s="59" t="s">
        <v>32</v>
      </c>
      <c r="F1" s="58" t="s">
        <v>93</v>
      </c>
      <c r="G1" s="58" t="s">
        <v>94</v>
      </c>
      <c r="H1" s="58" t="s">
        <v>95</v>
      </c>
      <c r="I1" s="58" t="s">
        <v>96</v>
      </c>
      <c r="J1" s="58" t="s">
        <v>97</v>
      </c>
      <c r="K1" s="58" t="s">
        <v>98</v>
      </c>
      <c r="L1" s="58" t="s">
        <v>99</v>
      </c>
      <c r="M1" s="58" t="s">
        <v>100</v>
      </c>
      <c r="N1" s="58" t="s">
        <v>101</v>
      </c>
      <c r="O1" s="58" t="s">
        <v>102</v>
      </c>
      <c r="P1" s="58" t="s">
        <v>103</v>
      </c>
      <c r="Q1" s="58" t="s">
        <v>55</v>
      </c>
      <c r="R1" s="21" t="s">
        <v>32</v>
      </c>
      <c r="S1" s="58" t="s">
        <v>104</v>
      </c>
      <c r="T1" s="58" t="s">
        <v>58</v>
      </c>
      <c r="U1" s="60" t="s">
        <v>105</v>
      </c>
      <c r="V1" s="21" t="s">
        <v>32</v>
      </c>
    </row>
    <row r="2" spans="1:22" x14ac:dyDescent="0.15">
      <c r="A2" s="43" t="s">
        <v>52</v>
      </c>
      <c r="B2" s="56">
        <v>30</v>
      </c>
      <c r="C2" s="56">
        <v>18.5</v>
      </c>
      <c r="D2" s="56">
        <v>7</v>
      </c>
      <c r="E2" s="61">
        <v>100</v>
      </c>
      <c r="F2" s="56">
        <v>23.5</v>
      </c>
      <c r="G2" s="56">
        <v>20.6</v>
      </c>
      <c r="H2" s="56">
        <v>17.600000000000001</v>
      </c>
      <c r="I2" s="56">
        <v>17.600000000000001</v>
      </c>
      <c r="J2" s="56">
        <v>14.7</v>
      </c>
      <c r="K2" s="56">
        <v>11.8</v>
      </c>
      <c r="L2" s="56">
        <v>11.8</v>
      </c>
      <c r="M2" s="56">
        <v>10.3</v>
      </c>
      <c r="N2" s="56">
        <v>8.8000000000000007</v>
      </c>
      <c r="O2" s="56">
        <v>7.6</v>
      </c>
      <c r="P2" s="56">
        <v>6.8</v>
      </c>
      <c r="Q2" s="56">
        <v>5.9</v>
      </c>
      <c r="R2" s="54">
        <v>85</v>
      </c>
      <c r="S2" s="56">
        <v>0.4</v>
      </c>
      <c r="T2" s="56">
        <v>0.3</v>
      </c>
      <c r="U2" s="56">
        <v>0.2</v>
      </c>
      <c r="V2" s="54">
        <v>65</v>
      </c>
    </row>
    <row r="3" spans="1:22" x14ac:dyDescent="0.15">
      <c r="A3" s="43" t="s">
        <v>106</v>
      </c>
      <c r="B3" s="56">
        <v>30</v>
      </c>
      <c r="C3" s="56">
        <v>18.5</v>
      </c>
      <c r="D3" s="56">
        <v>7</v>
      </c>
      <c r="E3" s="61">
        <v>100</v>
      </c>
      <c r="F3" s="56">
        <v>23.5</v>
      </c>
      <c r="G3" s="56">
        <v>20.6</v>
      </c>
      <c r="H3" s="56">
        <v>17.600000000000001</v>
      </c>
      <c r="I3" s="56">
        <v>17.600000000000001</v>
      </c>
      <c r="J3" s="56">
        <v>14.7</v>
      </c>
      <c r="K3" s="56">
        <v>11.8</v>
      </c>
      <c r="L3" s="56">
        <v>11.8</v>
      </c>
      <c r="M3" s="56">
        <v>10.3</v>
      </c>
      <c r="N3" s="56">
        <v>8.8000000000000007</v>
      </c>
      <c r="O3" s="56">
        <v>7.6</v>
      </c>
      <c r="P3" s="56">
        <v>6.8</v>
      </c>
      <c r="Q3" s="56">
        <v>5.9</v>
      </c>
      <c r="R3" s="54">
        <v>85</v>
      </c>
      <c r="S3" s="56">
        <v>0.4</v>
      </c>
      <c r="T3" s="56">
        <v>0.3</v>
      </c>
      <c r="U3" s="56">
        <v>0.2</v>
      </c>
      <c r="V3" s="54">
        <v>65</v>
      </c>
    </row>
    <row r="4" spans="1:22" x14ac:dyDescent="0.15">
      <c r="A4" s="43" t="s">
        <v>107</v>
      </c>
      <c r="B4" s="56">
        <v>25</v>
      </c>
      <c r="C4" s="56">
        <v>16</v>
      </c>
      <c r="D4" s="56">
        <v>7</v>
      </c>
      <c r="E4" s="61">
        <v>100</v>
      </c>
      <c r="F4" s="56">
        <v>23.5</v>
      </c>
      <c r="G4" s="56">
        <v>20.6</v>
      </c>
      <c r="H4" s="56">
        <v>17.600000000000001</v>
      </c>
      <c r="I4" s="56">
        <v>17.600000000000001</v>
      </c>
      <c r="J4" s="56">
        <v>14.7</v>
      </c>
      <c r="K4" s="56">
        <v>11.8</v>
      </c>
      <c r="L4" s="56">
        <v>11.8</v>
      </c>
      <c r="M4" s="56">
        <v>10.3</v>
      </c>
      <c r="N4" s="56">
        <v>8.8000000000000007</v>
      </c>
      <c r="O4" s="56">
        <v>7.6</v>
      </c>
      <c r="P4" s="56">
        <v>6.8</v>
      </c>
      <c r="Q4" s="56">
        <v>5.9</v>
      </c>
      <c r="R4" s="54">
        <v>85</v>
      </c>
      <c r="S4" s="56">
        <v>0.3</v>
      </c>
      <c r="T4" s="56">
        <v>0.2</v>
      </c>
      <c r="U4" s="56">
        <v>0.2</v>
      </c>
      <c r="V4" s="54">
        <v>65</v>
      </c>
    </row>
    <row r="5" spans="1:22" x14ac:dyDescent="0.15">
      <c r="A5" s="43" t="s">
        <v>108</v>
      </c>
      <c r="B5" s="56">
        <v>50</v>
      </c>
      <c r="C5" s="56">
        <v>31</v>
      </c>
      <c r="D5" s="56">
        <v>12</v>
      </c>
      <c r="E5" s="61">
        <v>100</v>
      </c>
      <c r="F5" s="56">
        <v>21.2</v>
      </c>
      <c r="G5" s="56">
        <v>17.600000000000001</v>
      </c>
      <c r="H5" s="56">
        <v>14.1</v>
      </c>
      <c r="I5" s="56">
        <v>14.1</v>
      </c>
      <c r="J5" s="56">
        <v>12.9</v>
      </c>
      <c r="K5" s="56">
        <v>11.8</v>
      </c>
      <c r="L5" s="56">
        <v>10</v>
      </c>
      <c r="M5" s="56">
        <v>8.5</v>
      </c>
      <c r="N5" s="56">
        <v>7.1</v>
      </c>
      <c r="O5" s="56">
        <v>5.9</v>
      </c>
      <c r="P5" s="56">
        <v>5</v>
      </c>
      <c r="Q5" s="56">
        <v>4.0999999999999996</v>
      </c>
      <c r="R5" s="54">
        <v>85</v>
      </c>
      <c r="S5" s="56">
        <v>0.6</v>
      </c>
      <c r="T5" s="56">
        <v>0.4</v>
      </c>
      <c r="U5" s="56">
        <v>0.2</v>
      </c>
      <c r="V5" s="54">
        <v>65</v>
      </c>
    </row>
    <row r="6" spans="1:22" x14ac:dyDescent="0.15">
      <c r="A6" s="43" t="s">
        <v>109</v>
      </c>
      <c r="B6" s="56">
        <v>25</v>
      </c>
      <c r="C6" s="56">
        <v>15.5</v>
      </c>
      <c r="D6" s="56">
        <v>6</v>
      </c>
      <c r="E6" s="61">
        <v>100</v>
      </c>
      <c r="F6" s="56">
        <v>27.1</v>
      </c>
      <c r="G6" s="56">
        <v>22.4</v>
      </c>
      <c r="H6" s="56">
        <v>17.600000000000001</v>
      </c>
      <c r="I6" s="56">
        <v>23.5</v>
      </c>
      <c r="J6" s="56">
        <v>17.600000000000001</v>
      </c>
      <c r="K6" s="56">
        <v>11.8</v>
      </c>
      <c r="L6" s="56">
        <v>14.1</v>
      </c>
      <c r="M6" s="56">
        <v>10</v>
      </c>
      <c r="N6" s="56">
        <v>5.9</v>
      </c>
      <c r="O6" s="56">
        <v>8.8000000000000007</v>
      </c>
      <c r="P6" s="56">
        <v>6.8</v>
      </c>
      <c r="Q6" s="56">
        <v>4.7</v>
      </c>
      <c r="R6" s="54">
        <v>85</v>
      </c>
      <c r="S6" s="56">
        <v>0.3</v>
      </c>
      <c r="T6" s="56">
        <v>0.2</v>
      </c>
      <c r="U6" s="56">
        <v>0.2</v>
      </c>
      <c r="V6" s="54">
        <v>65</v>
      </c>
    </row>
    <row r="7" spans="1:22" x14ac:dyDescent="0.15">
      <c r="A7" s="62"/>
      <c r="B7" s="4"/>
      <c r="C7" s="4"/>
      <c r="D7" s="4"/>
      <c r="E7" s="4"/>
    </row>
    <row r="8" spans="1:22" x14ac:dyDescent="0.15">
      <c r="E8" s="4"/>
    </row>
    <row r="9" spans="1:22" s="3" customFormat="1" x14ac:dyDescent="0.15">
      <c r="A9" s="22" t="s">
        <v>110</v>
      </c>
      <c r="B9" s="22" t="s">
        <v>111</v>
      </c>
      <c r="C9" s="22" t="s">
        <v>112</v>
      </c>
      <c r="D9" s="22" t="s">
        <v>113</v>
      </c>
      <c r="E9" s="51" t="s">
        <v>32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22" x14ac:dyDescent="0.15">
      <c r="A10" s="43" t="s">
        <v>59</v>
      </c>
      <c r="B10" s="64">
        <v>0.6</v>
      </c>
      <c r="C10" s="64">
        <v>0.6</v>
      </c>
      <c r="D10" s="64">
        <v>0.5</v>
      </c>
      <c r="E10" s="54">
        <v>95</v>
      </c>
    </row>
    <row r="11" spans="1:22" x14ac:dyDescent="0.15">
      <c r="A11" s="43" t="s">
        <v>60</v>
      </c>
      <c r="B11" s="64">
        <v>12.6</v>
      </c>
      <c r="C11" s="64">
        <v>10.3</v>
      </c>
      <c r="D11" s="64">
        <v>7.9</v>
      </c>
      <c r="E11" s="54">
        <v>95</v>
      </c>
    </row>
    <row r="12" spans="1:22" x14ac:dyDescent="0.15">
      <c r="E12" s="4"/>
    </row>
    <row r="13" spans="1:22" x14ac:dyDescent="0.15">
      <c r="E13" s="4"/>
    </row>
    <row r="14" spans="1:22" x14ac:dyDescent="0.15">
      <c r="E14" s="4"/>
    </row>
    <row r="15" spans="1:22" x14ac:dyDescent="0.15">
      <c r="E15" s="4"/>
    </row>
  </sheetData>
  <phoneticPr fontId="5" type="noConversion"/>
  <pageMargins left="0.75" right="0.75" top="1" bottom="1" header="0.5" footer="0.5"/>
  <pageSetup orientation="landscape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5"/>
  <sheetViews>
    <sheetView workbookViewId="0">
      <selection activeCell="C6" sqref="C6"/>
    </sheetView>
  </sheetViews>
  <sheetFormatPr baseColWidth="10" defaultColWidth="11" defaultRowHeight="13" x14ac:dyDescent="0.15"/>
  <cols>
    <col min="1" max="1" width="21.83203125" customWidth="1"/>
  </cols>
  <sheetData>
    <row r="1" spans="1:5" x14ac:dyDescent="0.15">
      <c r="A1" s="5" t="s">
        <v>0</v>
      </c>
      <c r="B1" s="6"/>
    </row>
    <row r="2" spans="1:5" x14ac:dyDescent="0.15">
      <c r="A2" s="6" t="s">
        <v>17</v>
      </c>
      <c r="B2" s="6">
        <v>40</v>
      </c>
    </row>
    <row r="3" spans="1:5" x14ac:dyDescent="0.15">
      <c r="A3" s="6" t="s">
        <v>18</v>
      </c>
      <c r="B3" s="6">
        <v>50</v>
      </c>
    </row>
    <row r="4" spans="1:5" x14ac:dyDescent="0.15">
      <c r="A4" s="6" t="s">
        <v>19</v>
      </c>
      <c r="B4" s="6">
        <v>75</v>
      </c>
    </row>
    <row r="5" spans="1:5" x14ac:dyDescent="0.15">
      <c r="A5" s="6" t="s">
        <v>20</v>
      </c>
      <c r="B5" s="6">
        <v>64</v>
      </c>
    </row>
    <row r="6" spans="1:5" x14ac:dyDescent="0.15">
      <c r="A6" s="6" t="s">
        <v>21</v>
      </c>
      <c r="B6" s="6">
        <v>35</v>
      </c>
    </row>
    <row r="7" spans="1:5" x14ac:dyDescent="0.15">
      <c r="A7" s="6" t="s">
        <v>22</v>
      </c>
      <c r="B7" s="6">
        <v>50</v>
      </c>
    </row>
    <row r="8" spans="1:5" x14ac:dyDescent="0.15">
      <c r="A8" s="6" t="s">
        <v>1</v>
      </c>
      <c r="B8" s="6">
        <v>50</v>
      </c>
    </row>
    <row r="9" spans="1:5" x14ac:dyDescent="0.15">
      <c r="A9" s="6" t="s">
        <v>2</v>
      </c>
      <c r="B9" s="6">
        <v>50</v>
      </c>
    </row>
    <row r="10" spans="1:5" x14ac:dyDescent="0.15">
      <c r="A10" s="6" t="s">
        <v>3</v>
      </c>
      <c r="B10" s="6">
        <v>60</v>
      </c>
    </row>
    <row r="11" spans="1:5" x14ac:dyDescent="0.15">
      <c r="A11" s="6" t="s">
        <v>4</v>
      </c>
      <c r="B11" s="6">
        <v>75</v>
      </c>
    </row>
    <row r="12" spans="1:5" x14ac:dyDescent="0.15">
      <c r="A12" s="6" t="s">
        <v>5</v>
      </c>
      <c r="B12" s="6">
        <v>60</v>
      </c>
    </row>
    <row r="14" spans="1:5" x14ac:dyDescent="0.15">
      <c r="A14" s="81" t="s">
        <v>6</v>
      </c>
      <c r="B14" s="81"/>
      <c r="C14" s="81"/>
      <c r="D14" s="81"/>
      <c r="E14" s="81"/>
    </row>
    <row r="15" spans="1:5" x14ac:dyDescent="0.15">
      <c r="A15" s="81"/>
      <c r="B15" s="81"/>
      <c r="C15" s="81"/>
      <c r="D15" s="81"/>
      <c r="E15" s="81"/>
    </row>
  </sheetData>
  <mergeCells count="1">
    <mergeCell ref="A14:E15"/>
  </mergeCells>
  <phoneticPr fontId="5" type="noConversion"/>
  <pageMargins left="0.75" right="0.75" top="1" bottom="1" header="0.5" footer="0.5"/>
  <pageSetup paperSize="297"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workbookViewId="0">
      <selection sqref="A1:E1"/>
    </sheetView>
  </sheetViews>
  <sheetFormatPr baseColWidth="10" defaultColWidth="11" defaultRowHeight="13" x14ac:dyDescent="0.15"/>
  <cols>
    <col min="1" max="1" width="15.5" style="3" customWidth="1"/>
    <col min="2" max="6" width="24.6640625" customWidth="1"/>
  </cols>
  <sheetData>
    <row r="1" spans="1:5" s="1" customFormat="1" x14ac:dyDescent="0.15">
      <c r="A1" s="7"/>
      <c r="B1" s="5" t="s">
        <v>8</v>
      </c>
      <c r="C1" s="5" t="s">
        <v>7</v>
      </c>
      <c r="D1" s="5" t="s">
        <v>16</v>
      </c>
      <c r="E1" s="5" t="s">
        <v>9</v>
      </c>
    </row>
    <row r="2" spans="1:5" x14ac:dyDescent="0.15">
      <c r="A2" s="7" t="s">
        <v>23</v>
      </c>
      <c r="B2" s="8">
        <v>200</v>
      </c>
      <c r="C2" s="8">
        <f>AVERAGE(B2,E2)*1.25</f>
        <v>162.5</v>
      </c>
      <c r="D2" s="8">
        <f>AVERAGE(B2,E2)*0.75</f>
        <v>97.5</v>
      </c>
      <c r="E2" s="8">
        <v>60</v>
      </c>
    </row>
    <row r="3" spans="1:5" x14ac:dyDescent="0.15">
      <c r="A3" s="7" t="s">
        <v>24</v>
      </c>
      <c r="B3" s="8">
        <v>250</v>
      </c>
      <c r="C3" s="8">
        <f t="shared" ref="C3:C4" si="0">AVERAGE(B3,E3)*1.25</f>
        <v>196.875</v>
      </c>
      <c r="D3" s="8">
        <f t="shared" ref="D3:D4" si="1">AVERAGE(B3,E3)*0.75</f>
        <v>118.125</v>
      </c>
      <c r="E3" s="8">
        <v>65</v>
      </c>
    </row>
    <row r="4" spans="1:5" x14ac:dyDescent="0.15">
      <c r="A4" s="7" t="s">
        <v>25</v>
      </c>
      <c r="B4" s="8">
        <v>150</v>
      </c>
      <c r="C4" s="8">
        <f t="shared" si="0"/>
        <v>131.25</v>
      </c>
      <c r="D4" s="8">
        <f t="shared" si="1"/>
        <v>78.75</v>
      </c>
      <c r="E4" s="8">
        <v>60</v>
      </c>
    </row>
  </sheetData>
  <phoneticPr fontId="5" type="noConversion"/>
  <pageMargins left="0.75" right="0.75" top="1" bottom="1" header="0.5" footer="0.5"/>
  <pageSetup orientation="landscape" horizontalDpi="0" verticalDpi="0"/>
  <colBreaks count="1" manualBreakCount="1">
    <brk id="5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29</vt:i4>
      </vt:variant>
    </vt:vector>
  </HeadingPairs>
  <TitlesOfParts>
    <vt:vector size="34" baseType="lpstr">
      <vt:lpstr>Book Design Estimating</vt:lpstr>
      <vt:lpstr>Cover Design Table</vt:lpstr>
      <vt:lpstr>Interior Design Table</vt:lpstr>
      <vt:lpstr>Designer Hourly Rates</vt:lpstr>
      <vt:lpstr>Production Hourly Rate</vt:lpstr>
      <vt:lpstr>BHR_concept</vt:lpstr>
      <vt:lpstr>BHR_design</vt:lpstr>
      <vt:lpstr>Lookup_Array_Cover</vt:lpstr>
      <vt:lpstr>Lookup_Array_interior_additionals</vt:lpstr>
      <vt:lpstr>Lookup_Array_Page_design</vt:lpstr>
      <vt:lpstr>Lookup_Array_Production</vt:lpstr>
      <vt:lpstr>Menu_Cover_Complexity</vt:lpstr>
      <vt:lpstr>Menu_Cover_Complexity_Add</vt:lpstr>
      <vt:lpstr>Menu_Cover_Design</vt:lpstr>
      <vt:lpstr>Menu_Cover_Illustration</vt:lpstr>
      <vt:lpstr>Menu_Freelance_Rates</vt:lpstr>
      <vt:lpstr>Menu_Freelance_Rates_BHR</vt:lpstr>
      <vt:lpstr>Menu_Intellectual_Property_Rights</vt:lpstr>
      <vt:lpstr>Menu_Interior_additionals</vt:lpstr>
      <vt:lpstr>Menu_Interior_concept_sketches</vt:lpstr>
      <vt:lpstr>Menu_Interior_illustration</vt:lpstr>
      <vt:lpstr>Menu_Interior_page_design</vt:lpstr>
      <vt:lpstr>Menu_Interior_page_design_difficulty</vt:lpstr>
      <vt:lpstr>Menu_Interior_page_makeup</vt:lpstr>
      <vt:lpstr>Menu_Page_design</vt:lpstr>
      <vt:lpstr>Menu_Production_Art</vt:lpstr>
      <vt:lpstr>Menu_Production_Art_Complexity</vt:lpstr>
      <vt:lpstr>Table_Array_Cover</vt:lpstr>
      <vt:lpstr>Table_Array_Cover_Add</vt:lpstr>
      <vt:lpstr>Table_Array_Freelance_Rates</vt:lpstr>
      <vt:lpstr>Table_Array_interior_additionals</vt:lpstr>
      <vt:lpstr>Table_Array_Page_design</vt:lpstr>
      <vt:lpstr>Table_Array_Production</vt:lpstr>
      <vt:lpstr>Table_Array_Rights</vt:lpstr>
    </vt:vector>
  </TitlesOfParts>
  <Company>Cal Poly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Keif</dc:creator>
  <cp:lastModifiedBy>Madeline Cate Wales</cp:lastModifiedBy>
  <cp:lastPrinted>2009-05-27T17:07:38Z</cp:lastPrinted>
  <dcterms:created xsi:type="dcterms:W3CDTF">2009-05-22T17:28:15Z</dcterms:created>
  <dcterms:modified xsi:type="dcterms:W3CDTF">2021-12-09T06:48:06Z</dcterms:modified>
</cp:coreProperties>
</file>